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comments4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gimi" sheetId="1" state="visible" r:id="rId3"/>
    <sheet name="Prezzo" sheetId="2" state="visible" r:id="rId4"/>
    <sheet name="Input" sheetId="3" state="visible" r:id="rId5"/>
    <sheet name="Tassi" sheetId="4" state="visible" r:id="rId6"/>
    <sheet name="Probabilita" sheetId="5" state="visible" r:id="rId7"/>
    <sheet name="Blocchi" sheetId="6" state="visible" r:id="rId8"/>
    <sheet name="Segmenti" sheetId="7" state="visible" r:id="rId9"/>
    <sheet name="Fisco" sheetId="8" state="visible" r:id="rId10"/>
    <sheet name="Finanziamento" sheetId="9" state="visible" r:id="rId11"/>
    <sheet name="Sinergie" sheetId="10" state="visible" r:id="rId12"/>
    <sheet name="Ponte" sheetId="11" state="visible" r:id="rId13"/>
    <sheet name="Fusione" sheetId="12" state="visible" r:id="rId14"/>
    <sheet name="Conglomerati" sheetId="13" state="visible" r:id="rId15"/>
    <sheet name="Controlli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G. Siliprandi</author>
  </authors>
  <commentList>
    <comment ref="B15" authorId="0">
      <text>
        <r>
          <rPr>
            <sz val="10"/>
            <rFont val="Arial"/>
            <family val="2"/>
          </rPr>
          <t xml:space="preserve">Ultima delle milestone di sblocco: S2, S3</t>
        </r>
      </text>
    </comment>
    <comment ref="C15" authorId="0">
      <text>
        <r>
          <rPr>
            <sz val="10"/>
            <rFont val="Arial"/>
            <family val="2"/>
          </rPr>
          <t xml:space="preserve">Ultima delle milestone di sblocco: C1, C2</t>
        </r>
      </text>
    </comment>
    <comment ref="D15" authorId="0">
      <text>
        <r>
          <rPr>
            <sz val="10"/>
            <rFont val="Arial"/>
            <family val="2"/>
          </rPr>
          <t xml:space="preserve">Ultima delle milestone di sblocco: A1, A3</t>
        </r>
      </text>
    </comment>
    <comment ref="E15" authorId="0">
      <text>
        <r>
          <rPr>
            <sz val="10"/>
            <rFont val="Arial"/>
            <family val="2"/>
          </rPr>
          <t xml:space="preserve">Ultima delle milestone di sblocco: A1, A3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G. Siliprandi</author>
  </authors>
  <commentList>
    <comment ref="I5" authorId="0">
      <text>
        <r>
          <rPr>
            <sz val="10"/>
            <rFont val="Arial"/>
            <family val="2"/>
          </rPr>
          <t xml:space="preserve">Controfattuale: probabilita' se il segmento fosse un'impresa indipendente (estremo basso dell'intervallo; A4 non esiste fuori dal gruppo).</t>
        </r>
      </text>
    </comment>
    <comment ref="I6" authorId="0">
      <text>
        <r>
          <rPr>
            <sz val="10"/>
            <rFont val="Arial"/>
            <family val="2"/>
          </rPr>
          <t xml:space="preserve">Controfattuale: probabilita' se il segmento fosse un'impresa indipendente (estremo basso dell'intervallo; A4 non esiste fuori dal gruppo).</t>
        </r>
      </text>
    </comment>
    <comment ref="I9" authorId="0">
      <text>
        <r>
          <rPr>
            <sz val="10"/>
            <rFont val="Arial"/>
            <family val="2"/>
          </rPr>
          <t xml:space="preserve">Controfattuale: probabilita' se il segmento fosse un'impresa indipendente (estremo basso dell'intervallo; A4 non esiste fuori dal gruppo).</t>
        </r>
      </text>
    </comment>
    <comment ref="I10" authorId="0">
      <text>
        <r>
          <rPr>
            <sz val="10"/>
            <rFont val="Arial"/>
            <family val="2"/>
          </rPr>
          <t xml:space="preserve">Controfattuale: probabilita' se il segmento fosse un'impresa indipendente (estremo basso dell'intervallo; A4 non esiste fuori dal gruppo).</t>
        </r>
      </text>
    </comment>
    <comment ref="I17" authorId="0">
      <text>
        <r>
          <rPr>
            <sz val="10"/>
            <rFont val="Arial"/>
            <family val="2"/>
          </rPr>
          <t xml:space="preserve">Controfattuale: probabilita' se il segmento fosse un'impresa indipendente (estremo basso dell'intervallo; A4 non esiste fuori dal gruppo).</t>
        </r>
      </text>
    </comment>
  </commentList>
</comments>
</file>

<file path=xl/sharedStrings.xml><?xml version="1.0" encoding="utf-8"?>
<sst xmlns="http://schemas.openxmlformats.org/spreadsheetml/2006/main" count="982" uniqueCount="608">
  <si>
    <t xml:space="preserve">SpaceX: il prezzo e il valore. Modello in formule</t>
  </si>
  <si>
    <t xml:space="preserve">Gherardo Siliprandi, Finanza straordinaria e valutazione d'impresa (Prof. A. Del Giudice), 12/10/2026</t>
  </si>
  <si>
    <t xml:space="preserve">Domanda</t>
  </si>
  <si>
    <t xml:space="preserve">Il prezzo che il mercato paga per SpaceX (167,60 $ il 7/10/2026; 135 $ al collocamento) rappresenta il valore dell'impresa?</t>
  </si>
  <si>
    <t xml:space="preserve">Risposta</t>
  </si>
  <si>
    <t xml:space="preserve">No. Il valore dei flussi oggi dimostrabili e' 60,1 $ per azione (gruppo: tre segmenti pesati per le loro milestone, piu' le sinergie): il 36% del prezzo. Ai multipli dei comparabili SpaceX varrebbe 15-19 $; anche con l'AI prezzata come OpenAI e Anthropic 35-44 $. Con tutte le milestone riuscite il valore resta sotto 94 $. Il DCF inverso dice che cosa paga il mercato: ricavi 2036 intorno ai 2.900 mld, quattro volte quelli di Amazon nel 2025, contro i 740 del caso di successo.</t>
  </si>
  <si>
    <t xml:space="preserve">Fogli</t>
  </si>
  <si>
    <t xml:space="preserve">Prezzo (la risposta: multipli impliciti, prezzo relativo, DCF inverso, confronto, banche) &gt; Input (numeri inseriti, blu, con fonte) &gt; Tassi (Ke, WACC, fattori di sconto per stadio) &gt; Probabilita (milestone, scenari) &gt; Blocchi (DCF di ogni blocco) &gt; Segmenti (rNPV per scenario) &gt; Fisco (E4) &gt; Finanziamento (E6) &gt; Sinergie (la cascata) &gt; Ponte (valore per azione) &gt; Fusione (xAI) &gt; Conglomerati (Berger e Ofek) &gt; Controlli (Excel contro Python).</t>
  </si>
  <si>
    <t xml:space="preserve">Colori</t>
  </si>
  <si>
    <t xml:space="preserve">Blu = input; nero = formula; verde = collegamento a un altro foglio; giallo = ipotesi chiave da discutere; fondo crema = risultato.</t>
  </si>
  <si>
    <t xml:space="preserve">Come si usa</t>
  </si>
  <si>
    <t xml:space="preserve">Cambia un input giallo (es. la quota del sussidio, il costo di emissione, una probabilita' da indipendente nel foglio Probabilita) e guarda il foglio Sinergie e il Ponte. Il beta di Starlink (Input, giallo) e' la leva piu' forte di tutto il modello.</t>
  </si>
  <si>
    <t xml:space="preserve">Approssimazioni</t>
  </si>
  <si>
    <t xml:space="preserve">(1) Il valore per azione usa i claim azionari (SEC 10-Q e 424B4) linearizzati fra 45 e 90 $ (errore &lt; 0,01 $). (2) Fisco e finanziamento sui flussi attesi, non stato per stato. (3) Le probabilita' cumulate sono il prodotto lungo la catena dei predecessori: identiche all'enumerazione esatta degli esiti.</t>
  </si>
  <si>
    <t xml:space="preserve">Modello Python</t>
  </si>
  <si>
    <t xml:space="preserve">Il foglio Controlli confronta ogni risultato con il modello di calcolo in Python dell'autore: coincidono al centesimo.</t>
  </si>
  <si>
    <t xml:space="preserve">Il prezzo di mercato rappresenta il valore di SpaceX?</t>
  </si>
  <si>
    <t xml:space="preserve">Strumenti che partono dal prezzo (multipli, DCF inverso) contro strumenti che partono dai flussi (somma delle parti, gruppo). Blu = input con fonte; nero = formula; verde = collegamento.</t>
  </si>
  <si>
    <t xml:space="preserve">1. Il prezzo e i multipli che implica</t>
  </si>
  <si>
    <t xml:space="preserve">Prezzo di mercato (7/10/2026), $</t>
  </si>
  <si>
    <t xml:space="preserve">Prezzo del collocamento, $</t>
  </si>
  <si>
    <t xml:space="preserve">EV di mercato (mld)</t>
  </si>
  <si>
    <t xml:space="preserve">Ricavi ultimi 12 mesi al 30/6/2026 (mld)</t>
  </si>
  <si>
    <t xml:space="preserve">SEC: FY2025 (S-1) - H1 2025 + H1 2026 (10-Q)</t>
  </si>
  <si>
    <t xml:space="preserve">Adjusted EBITDA ultimi 12 mesi (mld)</t>
  </si>
  <si>
    <t xml:space="preserve">SEC, definizione non-GAAP della societa' (8-K EX-99.1)</t>
  </si>
  <si>
    <t xml:space="preserve">Ricavi 2026E Space (mld)</t>
  </si>
  <si>
    <t xml:space="preserve">H1 2026 effettivo (10-Q Nota 18) + H2 stimato dall'autore, sotto il consenso</t>
  </si>
  <si>
    <t xml:space="preserve">Ricavi 2026E Connectivity (mld)</t>
  </si>
  <si>
    <t xml:space="preserve">Ricavi 2026E AI (mld)</t>
  </si>
  <si>
    <t xml:space="preserve">EV / ricavi ultimi 12 mesi</t>
  </si>
  <si>
    <t xml:space="preserve">EV / Adjusted EBITDA ultimi 12 mesi</t>
  </si>
  <si>
    <t xml:space="preserve">EV / ricavi 2026E</t>
  </si>
  <si>
    <t xml:space="preserve">2. Multipli: il mercato prezza SpaceX come le imprese simili? (EV in mld)</t>
  </si>
  <si>
    <t xml:space="preserve">Segmento</t>
  </si>
  <si>
    <t xml:space="preserve">EV/ricavi fwd</t>
  </si>
  <si>
    <t xml:space="preserve">EV/ricavi LTM</t>
  </si>
  <si>
    <t xml:space="preserve">EV basso</t>
  </si>
  <si>
    <t xml:space="preserve">EV alto</t>
  </si>
  <si>
    <t xml:space="preserve">Fonte</t>
  </si>
  <si>
    <t xml:space="preserve">Space</t>
  </si>
  <si>
    <t xml:space="preserve">stockanalysis.com 8-9/10/2026, mediane del paniere pesate sul mix H1 2026; vedi report, tabella dei panieri</t>
  </si>
  <si>
    <t xml:space="preserve">Connectivity</t>
  </si>
  <si>
    <t xml:space="preserve">AI</t>
  </si>
  <si>
    <t xml:space="preserve">SpaceX ai multipli dei tre panieri</t>
  </si>
  <si>
    <t xml:space="preserve">... in $ per azione (nessuno sconto)</t>
  </si>
  <si>
    <t xml:space="preserve">Laboratori AI privati (ultimo round o trattativa)</t>
  </si>
  <si>
    <t xml:space="preserve">Valutazione</t>
  </si>
  <si>
    <t xml:space="preserve">Ricavi annualizzati</t>
  </si>
  <si>
    <t xml:space="preserve">Multiplo</t>
  </si>
  <si>
    <t xml:space="preserve">OpenAI marzo 2026 (2026-03)</t>
  </si>
  <si>
    <t xml:space="preserve">[stampa] round e trattative riportati da Reuters, Bloomberg, The Information</t>
  </si>
  <si>
    <t xml:space="preserve">OpenAI trattativa set. 2026 (2026-09)</t>
  </si>
  <si>
    <t xml:space="preserve">Anthropic serie G (2026-02)</t>
  </si>
  <si>
    <t xml:space="preserve">Anthropic offerte apr. 2026 (2026-04)</t>
  </si>
  <si>
    <t xml:space="preserve">AI ai multipli dei laboratori (min e max), mld</t>
  </si>
  <si>
    <t xml:space="preserve">SpaceX con Space e Starlink al paniere e l'AI come i laboratori, mld</t>
  </si>
  <si>
    <t xml:space="preserve">EV lordo che il ponte associa al prezzo, senza sconti (mld)</t>
  </si>
  <si>
    <t xml:space="preserve">inversione esatta della formula del ponte</t>
  </si>
  <si>
    <t xml:space="preserve">Starlink necessaria per arrivare al prezzo, con l'AI al multiplo piu' alto dei laboratori (mld)</t>
  </si>
  <si>
    <t xml:space="preserve">... cioe' EV / ricavi 2026E di Starlink</t>
  </si>
  <si>
    <t xml:space="preserve">contro il paniere di Starlink di 2,7x (Iridium, il multiplo piu' alto fra gli operatori con ricavi a regime: 7,5x)</t>
  </si>
  <si>
    <t xml:space="preserve">3. DCF inverso: che cosa deve accadere perche' il valore dei flussi arrivi al prezzo</t>
  </si>
  <si>
    <t xml:space="preserve">Il moltiplicatore e' trovato dal modello Python per bisezione su tutto il motore (in Excel: Dati &gt; Analisi di simulazione &gt; Ricerca obiettivo). Moltiplica i ricavi 2036 dei blocchi a milestone; margini, capitale, tassi e probabilita' restano quelli del modello.</t>
  </si>
  <si>
    <t xml:space="preserve">Ricavi 2036 dei blocchi base, caso di successo (mld)</t>
  </si>
  <si>
    <t xml:space="preserve">ipotesi dei blocchi, foglio Blocchi</t>
  </si>
  <si>
    <t xml:space="preserve">Ricavi 2036 dei blocchi a milestone, caso di successo (mld)</t>
  </si>
  <si>
    <t xml:space="preserve">Ricavi 2036 nel caso di successo (mld)</t>
  </si>
  <si>
    <t xml:space="preserve">Moltiplicatore dei ricavi a milestone al prezzo di mercato</t>
  </si>
  <si>
    <t xml:space="preserve">modello Python, prezzo_e_valore.py (ricerca obiettivo sul valore del gruppo)</t>
  </si>
  <si>
    <t xml:space="preserve">Ricavi 2036 impliciti al prezzo di mercato (mld)</t>
  </si>
  <si>
    <t xml:space="preserve">Moltiplicatore dei ricavi a milestone al prezzo del collocamento</t>
  </si>
  <si>
    <t xml:space="preserve">Ricavi 2036 impliciti al prezzo del collocamento (mld)</t>
  </si>
  <si>
    <t xml:space="preserve">Per confronto: ricavi di Amazon nel 2025 (mld)</t>
  </si>
  <si>
    <t xml:space="preserve">Amazon.com, comunicato dei risultati del Q4 2025 (5/2/2026)</t>
  </si>
  <si>
    <t xml:space="preserve">Ricavi impliciti al prezzo / ricavi di Amazon 2025</t>
  </si>
  <si>
    <t xml:space="preserve">Se l'AI a regime valesse come un hyperscaler: valore finale dell'AI al 2036 ai multipli del paniere (EV/ricavi ed EV/EBITDA) invece del valore di continuazione del DCF</t>
  </si>
  <si>
    <t xml:space="preserve">Valore finale dell'AI</t>
  </si>
  <si>
    <t xml:space="preserve">AI basso (mld)</t>
  </si>
  <si>
    <t xml:space="preserve">AI alto (mld)</t>
  </si>
  <si>
    <t xml:space="preserve">$ per azione, basso</t>
  </si>
  <si>
    <t xml:space="preserve">$ per azione, alto</t>
  </si>
  <si>
    <t xml:space="preserve">DCF del modello, tutto a rischio</t>
  </si>
  <si>
    <t xml:space="preserve">valore AI: modello Python (prezzo_e_valore.py); $ per azione: formula del ponte sul valore del gruppo</t>
  </si>
  <si>
    <t xml:space="preserve">DCF del modello, solo l'AI con successo certo</t>
  </si>
  <si>
    <t xml:space="preserve">Multipli del paniere, AI a rischio</t>
  </si>
  <si>
    <t xml:space="preserve">Multipli del paniere, solo l'AI con successo certo</t>
  </si>
  <si>
    <t xml:space="preserve">4. Il confronto: quanta parte del prezzo spiegano i flussi</t>
  </si>
  <si>
    <t xml:space="preserve">Valore del gruppo, $ per azione</t>
  </si>
  <si>
    <t xml:space="preserve">Quota del prezzo di mercato spiegata dai flussi</t>
  </si>
  <si>
    <t xml:space="preserve">Quota del prezzo del collocamento spiegata dai flussi</t>
  </si>
  <si>
    <t xml:space="preserve">Valore nel caso di successo (somma delle parti), $ per azione</t>
  </si>
  <si>
    <t xml:space="preserve">5. Chi ha fissato il prezzo: target price delle banche dopo il quiet period (7/7/2026)</t>
  </si>
  <si>
    <t xml:space="preserve">Banca</t>
  </si>
  <si>
    <t xml:space="preserve">Target $</t>
  </si>
  <si>
    <t xml:space="preserve">Nel consorzio?</t>
  </si>
  <si>
    <t xml:space="preserve">Morgan Stanley</t>
  </si>
  <si>
    <t xml:space="preserve">si</t>
  </si>
  <si>
    <t xml:space="preserve">ruolo: SEC 424B4 p. 267; target: stampa e aggregatori (MarketBeat, TipRanks), Morningstar (giugno 2026)</t>
  </si>
  <si>
    <t xml:space="preserve">Bank of America</t>
  </si>
  <si>
    <t xml:space="preserve">Goldman Sachs</t>
  </si>
  <si>
    <t xml:space="preserve">J.P. Morgan</t>
  </si>
  <si>
    <t xml:space="preserve">RBC Capital Markets</t>
  </si>
  <si>
    <t xml:space="preserve">Deutsche Bank</t>
  </si>
  <si>
    <t xml:space="preserve">Stifel</t>
  </si>
  <si>
    <t xml:space="preserve">Raymond James</t>
  </si>
  <si>
    <t xml:space="preserve">Evercore ISI</t>
  </si>
  <si>
    <t xml:space="preserve">no</t>
  </si>
  <si>
    <t xml:space="preserve">Wedbush / Yorkville (D. Ives)</t>
  </si>
  <si>
    <t xml:space="preserve">TD Cowen</t>
  </si>
  <si>
    <t xml:space="preserve">Susquehanna</t>
  </si>
  <si>
    <t xml:space="preserve">Argus</t>
  </si>
  <si>
    <t xml:space="preserve">MoffettNathanson</t>
  </si>
  <si>
    <t xml:space="preserve">Morningstar</t>
  </si>
  <si>
    <t xml:space="preserve">Mediana dei target del consorzio</t>
  </si>
  <si>
    <t xml:space="preserve">Mediana dei target fuori dal consorzio</t>
  </si>
  <si>
    <t xml:space="preserve">Azioni negoziabili al debutto (quota del capitale)</t>
  </si>
  <si>
    <t xml:space="preserve">SEC 424B4: 638,9 mln su 13.159 mln, greenshoe compresa</t>
  </si>
  <si>
    <t xml:space="preserve">Azioni negoziabili dal 24/9/2026</t>
  </si>
  <si>
    <t xml:space="preserve">SEC 424B4, Shares Eligible for Future Sale; calcolo dell'autore</t>
  </si>
  <si>
    <t xml:space="preserve">Input del modello (blu = numero inserito, con fonte)</t>
  </si>
  <si>
    <t xml:space="preserve">Cambiando un valore blu si ricalcola tutto il file. Le fonti sono nella colonna D; [stima] = scelta dell'autore motivata nel report.</t>
  </si>
  <si>
    <t xml:space="preserve">Mercato e struttura finanziaria</t>
  </si>
  <si>
    <t xml:space="preserve">Tasso privo di rischio (Treasury 10 anni)</t>
  </si>
  <si>
    <t xml:space="preserve">Treasury 10y al 7/10/2026 (CNBC 5,28-5,32%)</t>
  </si>
  <si>
    <t xml:space="preserve">Premio per il rischio azionario (ERP)</t>
  </si>
  <si>
    <t xml:space="preserve">Damodaran, ERP implicito S&amp;P 500 al 1/10/2026</t>
  </si>
  <si>
    <t xml:space="preserve">Premio paese (CRP pesato sui ricavi esteri)</t>
  </si>
  <si>
    <t xml:space="preserve">CRP 0,41% (slide 17 del corso) x 31% ricavi esteri (S-1 Nota 19)</t>
  </si>
  <si>
    <t xml:space="preserve">Costo del debito (lordo)</t>
  </si>
  <si>
    <t xml:space="preserve">tasso effettivo delle SpaceX Notes, 10-Q Q2 2026 (BBB+)</t>
  </si>
  <si>
    <t xml:space="preserve">Aliquota d'imposta</t>
  </si>
  <si>
    <t xml:space="preserve">aliquota federale USA [SEC]</t>
  </si>
  <si>
    <t xml:space="preserve">D/V nel periodo esplicito</t>
  </si>
  <si>
    <t xml:space="preserve">struttura finanziaria di regime [stima]</t>
  </si>
  <si>
    <t xml:space="preserve">D/V a regime</t>
  </si>
  <si>
    <t xml:space="preserve">Crescita perpetua g</t>
  </si>
  <si>
    <t xml:space="preserve">inflazione attesa 2,35% + crescita reale 1,8%</t>
  </si>
  <si>
    <t xml:space="preserve">Beta unlevered per stadio</t>
  </si>
  <si>
    <t xml:space="preserve">Beta U prima della milestone, Space</t>
  </si>
  <si>
    <t xml:space="preserve">[stima] ancorati ai beta di Rocket Lab e AST SpaceMobile (Damodaran), con un tetto piu' basso</t>
  </si>
  <si>
    <t xml:space="preserve">Beta U dopo la milestone (paniere), Space</t>
  </si>
  <si>
    <t xml:space="preserve">paniere bottom-up: Damodaran, Betas by Sector (US), gennaio 2026</t>
  </si>
  <si>
    <t xml:space="preserve">Beta U prima della milestone, Connectivity</t>
  </si>
  <si>
    <t xml:space="preserve">Beta U dopo la milestone (paniere), Connectivity</t>
  </si>
  <si>
    <t xml:space="preserve">Beta U prima della milestone, AI</t>
  </si>
  <si>
    <t xml:space="preserve">Beta U dopo la milestone (paniere), AI</t>
  </si>
  <si>
    <t xml:space="preserve">Secondo semestre 2026 e costi certi</t>
  </si>
  <si>
    <t xml:space="preserve">EBIT H2 2026, Space</t>
  </si>
  <si>
    <t xml:space="preserve">mld $</t>
  </si>
  <si>
    <t xml:space="preserve">EBIT H1 2026 [SEC 10-Q] + margine incrementale x (ricavi 2026E - 2 x ricavi H1)</t>
  </si>
  <si>
    <t xml:space="preserve">Investimento netto H2 2026, Space</t>
  </si>
  <si>
    <t xml:space="preserve">30,4 mld (capex 2026E consenso - capex H1 - D&amp;A H2) ripartiti con le quote capex H1 2026 [SEC]</t>
  </si>
  <si>
    <t xml:space="preserve">EBIT H2 2026, Connectivity</t>
  </si>
  <si>
    <t xml:space="preserve">Investimento netto H2 2026, Connectivity</t>
  </si>
  <si>
    <t xml:space="preserve">EBIT H2 2026, AI</t>
  </si>
  <si>
    <t xml:space="preserve">Investimento netto H2 2026, AI</t>
  </si>
  <si>
    <t xml:space="preserve">R&amp;S Starship certa 2027 (ante imposte)</t>
  </si>
  <si>
    <t xml:space="preserve">[stima] R&amp;S Space H1 2026 2,0 mld [SEC], in calo dopo S2/S3</t>
  </si>
  <si>
    <t xml:space="preserve">R&amp;S Starship certa 2028 (ante imposte)</t>
  </si>
  <si>
    <t xml:space="preserve">R&amp;S Starship certa 2029 (ante imposte)</t>
  </si>
  <si>
    <t xml:space="preserve">R&amp;S Starship certa 2030 (ante imposte)</t>
  </si>
  <si>
    <t xml:space="preserve">Quota GPU rivendibile se A1 fallisce</t>
  </si>
  <si>
    <t xml:space="preserve">[stima] GPU di 1-2 anni al 30-50% del costo, limite basso</t>
  </si>
  <si>
    <t xml:space="preserve">Dal valore d'impresa al valore per azione</t>
  </si>
  <si>
    <t xml:space="preserve">Cassa e titoli - debito + digital - EchoStar e Trust</t>
  </si>
  <si>
    <t xml:space="preserve">10-Q 30/6/2026 (100,0 - 39,4 + 1,1 - 9,7)</t>
  </si>
  <si>
    <t xml:space="preserve">Anni dal 30/6 al 7/10/2026 (capitalizzazione)</t>
  </si>
  <si>
    <t xml:space="preserve">anni</t>
  </si>
  <si>
    <t xml:space="preserve">dal bilancio del 30/6/2026 (10-Q) alla data del prezzo</t>
  </si>
  <si>
    <t xml:space="preserve">Azioni diluite</t>
  </si>
  <si>
    <t xml:space="preserve">mln</t>
  </si>
  <si>
    <t xml:space="preserve">10-Q, 424B4, 8-K Cursor, RSU</t>
  </si>
  <si>
    <t xml:space="preserve">Claim azionari: intercetta (approssimazione lineare)</t>
  </si>
  <si>
    <t xml:space="preserve">opzioni (Black-Scholes, vol 55%), restricted ed EchoStar (SEC 10-Q e 424B4), linearizzati fra 45 e 90 $ per azione: errore &lt; 0,01 $</t>
  </si>
  <si>
    <t xml:space="preserve">Claim azionari: pendenza</t>
  </si>
  <si>
    <t xml:space="preserve">mld $ per $</t>
  </si>
  <si>
    <t xml:space="preserve">come sopra</t>
  </si>
  <si>
    <t xml:space="preserve">Sconto di governance</t>
  </si>
  <si>
    <t xml:space="preserve">Dyck e Zingales (2004), benefici privati del controllo</t>
  </si>
  <si>
    <t xml:space="preserve">Sconto di conglomerata (solo somma delle parti)</t>
  </si>
  <si>
    <t xml:space="preserve">segnaposto 5% (Berger e Ofek 1995); il valore del gruppo lo sostituisce con sinergie e dis-sinergie misurate</t>
  </si>
  <si>
    <t xml:space="preserve">Prezzo di mercato (7/10/2026)</t>
  </si>
  <si>
    <t xml:space="preserve">$</t>
  </si>
  <si>
    <t xml:space="preserve">chiusura SPCX 7/10/2026 (Yahoo Finance)</t>
  </si>
  <si>
    <t xml:space="preserve">Prezzo IPO</t>
  </si>
  <si>
    <t xml:space="preserve">424B4 del 12/6/2026 [SEC]</t>
  </si>
  <si>
    <t xml:space="preserve">EV di mercato al prezzo di 167,60 $</t>
  </si>
  <si>
    <t xml:space="preserve">capitalizzazione con i claim allo stesso prezzo - posizione finanziaria</t>
  </si>
  <si>
    <t xml:space="preserve">Ipotesi del controfattuale "tre imprese indipendenti"</t>
  </si>
  <si>
    <t xml:space="preserve">Limite d'uso delle perdite fiscali (NOL)</t>
  </si>
  <si>
    <t xml:space="preserve">IRC sez. 172 dopo il TCJA 2017: fino all'80% del reddito imponibile, senza scadenza</t>
  </si>
  <si>
    <t xml:space="preserve">D/V dell'AI indipendente, periodo esplicito</t>
  </si>
  <si>
    <t xml:space="preserve">[stima] xAI collocava debito al 12-12,5% senza rating (giugno 2025, Reuters)</t>
  </si>
  <si>
    <t xml:space="preserve">D/V dell'AI indipendente, a regime</t>
  </si>
  <si>
    <t xml:space="preserve">[stima] come sopra</t>
  </si>
  <si>
    <t xml:space="preserve">Costo di emissione del capitale esterno</t>
  </si>
  <si>
    <t xml:space="preserve">Lee, Lochhead, Ritter e Zhao (1996): circa 3% per le emissioni grandi; intervallo 1,5-5%</t>
  </si>
  <si>
    <t xml:space="preserve">Cassa del gruppo al 30/6/2026</t>
  </si>
  <si>
    <t xml:space="preserve">cassa 93,5 + titoli 6,5 [SEC 10-Q]</t>
  </si>
  <si>
    <t xml:space="preserve">Probabilita' del blocco difesa integrata (N1)</t>
  </si>
  <si>
    <t xml:space="preserve">[stima] contratti Golden Dome 2,29 + 4,16 mld (maggio 2026) [stampa]</t>
  </si>
  <si>
    <t xml:space="preserve">Quota del sussidio all'AI che un'AI indipendente eviterebbe (D1)</t>
  </si>
  <si>
    <t xml:space="preserve">[stima] Scharfstein e Stein (2000); intervallo 0-100%</t>
  </si>
  <si>
    <t xml:space="preserve">Fusione: valore attribuito a SpaceX</t>
  </si>
  <si>
    <t xml:space="preserve">[stampa] Bloomberg, 2/2/2026: tutta in azioni</t>
  </si>
  <si>
    <t xml:space="preserve">Fusione: valore attribuito a xAI</t>
  </si>
  <si>
    <t xml:space="preserve">[stampa] Bloomberg, 2/2/2026</t>
  </si>
  <si>
    <t xml:space="preserve">EV di SpaceX al 9/10/2026 (solo confronto)</t>
  </si>
  <si>
    <t xml:space="preserve">stockanalysis.com, chiusura 162,57 $</t>
  </si>
  <si>
    <t xml:space="preserve">Parametri dei blocchi di flusso ([stima] dell'autore salvo il blocco base)</t>
  </si>
  <si>
    <t xml:space="preserve">Blocco</t>
  </si>
  <si>
    <t xml:space="preserve">Milestone</t>
  </si>
  <si>
    <t xml:space="preserve">Primo anno y0</t>
  </si>
  <si>
    <t xml:space="preserve">Ricavi y0 (r0)</t>
  </si>
  <si>
    <t xml:space="preserve">Ricavi 2036 (r36)</t>
  </si>
  <si>
    <t xml:space="preserve">Ricavi 2027 (solo AI base)</t>
  </si>
  <si>
    <t xml:space="preserve">Margine EBIT iniziale</t>
  </si>
  <si>
    <t xml:space="preserve">Margine EBIT a regime</t>
  </si>
  <si>
    <t xml:space="preserve">Ricavi / capitale (S/C)</t>
  </si>
  <si>
    <t xml:space="preserve">ROC incrementale</t>
  </si>
  <si>
    <t xml:space="preserve">Uplift: +punti di margine</t>
  </si>
  <si>
    <t xml:space="preserve">Uplift sui blocchi</t>
  </si>
  <si>
    <t xml:space="preserve">Falcon, Dragon e governo</t>
  </si>
  <si>
    <t xml:space="preserve">base</t>
  </si>
  <si>
    <t xml:space="preserve">Lanci Starship a pagamento</t>
  </si>
  <si>
    <t xml:space="preserve">S1</t>
  </si>
  <si>
    <t xml:space="preserve">Riuso e cadenza</t>
  </si>
  <si>
    <t xml:space="preserve">S2</t>
  </si>
  <si>
    <t xml:space="preserve">Contratti HLS successivi</t>
  </si>
  <si>
    <t xml:space="preserve">S4</t>
  </si>
  <si>
    <t xml:space="preserve">Costo sotto 500 $/kg (margine)</t>
  </si>
  <si>
    <t xml:space="preserve">S5</t>
  </si>
  <si>
    <t xml:space="preserve">base,S1,S2</t>
  </si>
  <si>
    <t xml:space="preserve">Starlink V2 (consumer, enterprise, governo)</t>
  </si>
  <si>
    <t xml:space="preserve">Capacita' V3</t>
  </si>
  <si>
    <t xml:space="preserve">C1</t>
  </si>
  <si>
    <t xml:space="preserve">Scala consumer (25 mln abbonati)</t>
  </si>
  <si>
    <t xml:space="preserve">C3</t>
  </si>
  <si>
    <t xml:space="preserve">Direct-to-cell (spettro EchoStar)</t>
  </si>
  <si>
    <t xml:space="preserve">C2</t>
  </si>
  <si>
    <t xml:space="preserve">Grandi mercati chiusi (India, altri)</t>
  </si>
  <si>
    <t xml:space="preserve">C4</t>
  </si>
  <si>
    <t xml:space="preserve">X, Grok e calcolo residuo</t>
  </si>
  <si>
    <t xml:space="preserve">Calcolo contrattualizzato</t>
  </si>
  <si>
    <t xml:space="preserve">A1</t>
  </si>
  <si>
    <t xml:space="preserve">Prodotto di frontiera (Grok, API)</t>
  </si>
  <si>
    <t xml:space="preserve">A2</t>
  </si>
  <si>
    <t xml:space="preserve">ROIC &gt;= WACC sul calcolo (margine)</t>
  </si>
  <si>
    <t xml:space="preserve">A3</t>
  </si>
  <si>
    <t xml:space="preserve">Calcolo orbitale (opzione)</t>
  </si>
  <si>
    <t xml:space="preserve">A4</t>
  </si>
  <si>
    <t xml:space="preserve">Difesa integrata (lancio + costellazione + AI)</t>
  </si>
  <si>
    <t xml:space="preserve">Gruppo (tassi Space)</t>
  </si>
  <si>
    <t xml:space="preserve">N1</t>
  </si>
  <si>
    <t xml:space="preserve">Fonte: stime dell'autore, ancorate a tre regimi dell'AI (crisi, fornitore di calcolo, laboratorio di frontiera) e ai margini incrementali SEC; blocco N1: contratti Golden Dome. I ricavi base 2026 sono stime 2026E dell'autore sui dati semestrali SEC.</t>
  </si>
  <si>
    <t xml:space="preserve">Costo del capitale per stadio e fattori di sconto</t>
  </si>
  <si>
    <t xml:space="preserve">Ke = Rf + beta_U x (1 + D/E) x ERP + CRP; WACC = D/V x Kd x (1 - t) + E/V x Ke. Tasso PRE fino all'anno di sblocco del segmento, POST dopo. Sconto dal 30/6/2026, flussi a meta' periodo.</t>
  </si>
  <si>
    <t xml:space="preserve">Voce</t>
  </si>
  <si>
    <t xml:space="preserve">AI indip.</t>
  </si>
  <si>
    <t xml:space="preserve">Beta U pre</t>
  </si>
  <si>
    <t xml:space="preserve">Beta U post</t>
  </si>
  <si>
    <t xml:space="preserve">D/V esplicito</t>
  </si>
  <si>
    <t xml:space="preserve">D/V regime</t>
  </si>
  <si>
    <t xml:space="preserve">Ke pre</t>
  </si>
  <si>
    <t xml:space="preserve">WACC pre</t>
  </si>
  <si>
    <t xml:space="preserve">Ke post</t>
  </si>
  <si>
    <t xml:space="preserve">WACC post</t>
  </si>
  <si>
    <t xml:space="preserve">Ke regime</t>
  </si>
  <si>
    <t xml:space="preserve">WACC regime</t>
  </si>
  <si>
    <t xml:space="preserve">Anno di sblocco</t>
  </si>
  <si>
    <t xml:space="preserve">Periodo</t>
  </si>
  <si>
    <t xml:space="preserve">H2 2026</t>
  </si>
  <si>
    <t xml:space="preserve">Anno di riferimento</t>
  </si>
  <si>
    <t xml:space="preserve">Tempo dal 30/6/2026 (anni, meta' periodo)</t>
  </si>
  <si>
    <t xml:space="preserve">Space: WACC per stadio</t>
  </si>
  <si>
    <t xml:space="preserve">Space: fattore di sconto per stadio</t>
  </si>
  <si>
    <t xml:space="preserve">Space: WACC post (caso di successo)</t>
  </si>
  <si>
    <t xml:space="preserve">Space: fattore di sconto post</t>
  </si>
  <si>
    <t xml:space="preserve">Connectivity: WACC per stadio</t>
  </si>
  <si>
    <t xml:space="preserve">Connectivity: fattore di sconto per stadio</t>
  </si>
  <si>
    <t xml:space="preserve">Connectivity: WACC post (caso di successo)</t>
  </si>
  <si>
    <t xml:space="preserve">Connectivity: fattore di sconto post</t>
  </si>
  <si>
    <t xml:space="preserve">AI: WACC per stadio</t>
  </si>
  <si>
    <t xml:space="preserve">AI: fattore di sconto per stadio</t>
  </si>
  <si>
    <t xml:space="preserve">AI: WACC post (caso di successo)</t>
  </si>
  <si>
    <t xml:space="preserve">AI: fattore di sconto post</t>
  </si>
  <si>
    <t xml:space="preserve">AI indipendente (leva ridotta): WACC per stadio</t>
  </si>
  <si>
    <t xml:space="preserve">AI indipendente (leva ridotta): fattore di sconto per stadio</t>
  </si>
  <si>
    <t xml:space="preserve">AI indipendente (leva ridotta): WACC post (caso di successo)</t>
  </si>
  <si>
    <t xml:space="preserve">AI indipendente (leva ridotta): fattore di sconto post</t>
  </si>
  <si>
    <t xml:space="preserve">Milestone: probabilita' condizionate e cumulate per scenario</t>
  </si>
  <si>
    <t xml:space="preserve">Condizionata = dato che i predecessori sono riusciti. Cumulata = prodotto lungo la catena dei predecessori (identica all'enumerazione esatta dei 696 esiti, perche' le milestone sono indipendenti dati i predecessori).</t>
  </si>
  <si>
    <t xml:space="preserve">Probabilita' condizionate per scenario</t>
  </si>
  <si>
    <t xml:space="preserve">Probabilita' cumulate per scenario</t>
  </si>
  <si>
    <t xml:space="preserve">ID</t>
  </si>
  <si>
    <t xml:space="preserve">Predecessori</t>
  </si>
  <si>
    <t xml:space="preserve">Anno</t>
  </si>
  <si>
    <t xml:space="preserve">P bassa</t>
  </si>
  <si>
    <t xml:space="preserve">P centrale</t>
  </si>
  <si>
    <t xml:space="preserve">P alta</t>
  </si>
  <si>
    <t xml:space="preserve">Gruppo</t>
  </si>
  <si>
    <t xml:space="preserve">Indipendenti</t>
  </si>
  <si>
    <t xml:space="preserve">Dopo E1</t>
  </si>
  <si>
    <t xml:space="preserve">Dopo E2</t>
  </si>
  <si>
    <t xml:space="preserve">Starship orbitale ripetibile</t>
  </si>
  <si>
    <t xml:space="preserve">-</t>
  </si>
  <si>
    <t xml:space="preserve">Riuso dello stadio superiore</t>
  </si>
  <si>
    <t xml:space="preserve">S3</t>
  </si>
  <si>
    <t xml:space="preserve">Rifornimento in orbita</t>
  </si>
  <si>
    <t xml:space="preserve">Sbarco lunare con equipaggio (HLS)</t>
  </si>
  <si>
    <t xml:space="preserve">S2,S3</t>
  </si>
  <si>
    <t xml:space="preserve">Costo sotto 500 $/kg</t>
  </si>
  <si>
    <t xml:space="preserve">1.000 satelliti V3 operativi</t>
  </si>
  <si>
    <t xml:space="preserve">S1,S2</t>
  </si>
  <si>
    <t xml:space="preserve">Spettro EchoStar e direct-to-cell</t>
  </si>
  <si>
    <t xml:space="preserve">25 mln abbonati, ARPU &gt;= 55 $</t>
  </si>
  <si>
    <t xml:space="preserve">Licenze nei grandi mercati</t>
  </si>
  <si>
    <t xml:space="preserve">Contratti di calcolo non cancellabili &gt; 70%</t>
  </si>
  <si>
    <t xml:space="preserve">Grok di frontiera, ricavi di prodotto</t>
  </si>
  <si>
    <t xml:space="preserve">ROIC marginale &gt;= WACC</t>
  </si>
  <si>
    <t xml:space="preserve">Calcolo orbitale &gt;= 1 GW</t>
  </si>
  <si>
    <t xml:space="preserve">S2,S3,C1</t>
  </si>
  <si>
    <t xml:space="preserve">Fonte: probabilita' stimate dall'autore su tassi storici (Guikema e Pate'-Cornell 2004; Flyvbjerg 2014). Colonna I: controfattuale delle imprese indipendenti. Dopo E1 si restituiscono al gruppo S1, S2, S5; dopo E2 anche C1; dopo E3 (= gruppo) anche A4.</t>
  </si>
  <si>
    <t xml:space="preserve">DCF di ogni blocco di flusso (corso: FCF = NOPAT - reinvestimento; valore finale con la formula del value driver)</t>
  </si>
  <si>
    <t xml:space="preserve">Ricavi base: crescita costante fino al 2036. Blocchi a milestone: lineari da r0 (anno y0) a r36. Margine: lineare in 4 anni. Reinvestimento = variazione dei ricavi dell'anno dopo / (S/C). CV = NOPAT 2037 x (1 - g/ROC) / (WACC regime - g).</t>
  </si>
  <si>
    <t xml:space="preserve">Space | base | Falcon, Dragon e governo</t>
  </si>
  <si>
    <t xml:space="preserve">Ricavi</t>
  </si>
  <si>
    <t xml:space="preserve">NOPAT 2037</t>
  </si>
  <si>
    <t xml:space="preserve">Margine EBIT</t>
  </si>
  <si>
    <t xml:space="preserve">FCF 2037 (dopo il reinvestimento di regime)</t>
  </si>
  <si>
    <t xml:space="preserve">EBIT</t>
  </si>
  <si>
    <t xml:space="preserve">Valore finale al 2036 (CV)</t>
  </si>
  <si>
    <t xml:space="preserve">Reinvestimento</t>
  </si>
  <si>
    <t xml:space="preserve">PV a tassi per stadio</t>
  </si>
  <si>
    <t xml:space="preserve">FCF = EBIT x (1 - t) - reinvestimento</t>
  </si>
  <si>
    <t xml:space="preserve">PV caso di successo (WACC post)</t>
  </si>
  <si>
    <t xml:space="preserve">Space | S1 | Lanci Starship a pagamento</t>
  </si>
  <si>
    <t xml:space="preserve">Space | S2 | Riuso e cadenza</t>
  </si>
  <si>
    <t xml:space="preserve">Space | S4 | Contratti HLS successivi</t>
  </si>
  <si>
    <t xml:space="preserve">Space | S5 | Costo sotto 500 $/kg (margine)</t>
  </si>
  <si>
    <t xml:space="preserve">Punti di margine aggiunti</t>
  </si>
  <si>
    <t xml:space="preserve">Connectivity | base | Starlink V2 (consumer, enterprise, governo)</t>
  </si>
  <si>
    <t xml:space="preserve">Connectivity | C1 | Capacita' V3</t>
  </si>
  <si>
    <t xml:space="preserve">Connectivity | C3 | Scala consumer (25 mln abbonati)</t>
  </si>
  <si>
    <t xml:space="preserve">Connectivity | C2 | Direct-to-cell (spettro EchoStar)</t>
  </si>
  <si>
    <t xml:space="preserve">Connectivity | C4 | Grandi mercati chiusi (India, altri)</t>
  </si>
  <si>
    <t xml:space="preserve">AI | base | X, Grok e calcolo residuo</t>
  </si>
  <si>
    <t xml:space="preserve">PV per stadio, AI indipendente (leva ridotta)</t>
  </si>
  <si>
    <t xml:space="preserve">AI | A1 | Calcolo contrattualizzato</t>
  </si>
  <si>
    <t xml:space="preserve">AI | A2 | Prodotto di frontiera (Grok, API)</t>
  </si>
  <si>
    <t xml:space="preserve">AI | A3 | ROIC &gt;= WACC sul calcolo (margine)</t>
  </si>
  <si>
    <t xml:space="preserve">AI | A4 | Calcolo orbitale (opzione)</t>
  </si>
  <si>
    <t xml:space="preserve">Gruppo | N1 | Difesa integrata (lancio + costellazione + AI)</t>
  </si>
  <si>
    <t xml:space="preserve">Valore dei segmenti: caso di successo e rNPV a rischio, per scenario di probabilita'</t>
  </si>
  <si>
    <t xml:space="preserve">rNPV = PV del secondo semestre 2026 e dei costi certi + somma(P cumulata x PV per stadio del blocco) + recupero GPU. Colonne a destra: la stessa formula con le probabilita' del controfattuale e dei passi intermedi.</t>
  </si>
  <si>
    <t xml:space="preserve">PV per stadio</t>
  </si>
  <si>
    <t xml:space="preserve">PV successo</t>
  </si>
  <si>
    <t xml:space="preserve">PV AI indip.</t>
  </si>
  <si>
    <t xml:space="preserve">P Gruppo</t>
  </si>
  <si>
    <t xml:space="preserve">P Indip.</t>
  </si>
  <si>
    <t xml:space="preserve">P dopo E1</t>
  </si>
  <si>
    <t xml:space="preserve">P dopo E2</t>
  </si>
  <si>
    <t xml:space="preserve">Secondo semestre 2026 (EBIT - investimento, senza imposte)</t>
  </si>
  <si>
    <t xml:space="preserve">Costi di sviluppo certi (R&amp;S Starship, dopo le imposte)</t>
  </si>
  <si>
    <t xml:space="preserve">Recupero GPU se A1 fallisce</t>
  </si>
  <si>
    <t xml:space="preserve">Totale Space</t>
  </si>
  <si>
    <t xml:space="preserve">Totale Connectivity</t>
  </si>
  <si>
    <t xml:space="preserve">Totale AI</t>
  </si>
  <si>
    <t xml:space="preserve">Somma dei segmenti (EV lordo)</t>
  </si>
  <si>
    <t xml:space="preserve">Indipendenti con la leva del gruppo per l'AI (passo E5)</t>
  </si>
  <si>
    <t xml:space="preserve">Colonne: K = gruppo, L = tre imprese indipendenti (probabilita' e leva AI da indipendenti, prima di fisco, finanziamento e sussidio), M e N = passi intermedi della cascata. D = caso di successo (tutte le milestone, WACC post).</t>
  </si>
  <si>
    <t xml:space="preserve">E4. Consolidato fiscale: imposte da impresa indipendente (perdite riportate a nuovo) contro imposte nel gruppo</t>
  </si>
  <si>
    <t xml:space="preserve">EBIT atteso = somma(P cumulata da indipendente x EBIT del blocco) - costi certi. Nel gruppo una perdita riduce subito le imposte; da sola si riporta a nuovo e si usa fino al limite dell'80% del reddito dell'anno.</t>
  </si>
  <si>
    <t xml:space="preserve">EBIT atteso</t>
  </si>
  <si>
    <t xml:space="preserve">Imposte nel gruppo (t x EBIT)</t>
  </si>
  <si>
    <t xml:space="preserve">Perdite fiscali di inizio anno</t>
  </si>
  <si>
    <t xml:space="preserve">Perdite usate</t>
  </si>
  <si>
    <t xml:space="preserve">Perdite di fine anno</t>
  </si>
  <si>
    <t xml:space="preserve">Imposte da indipendente</t>
  </si>
  <si>
    <t xml:space="preserve">Differenza (indipendente - gruppo)</t>
  </si>
  <si>
    <t xml:space="preserve">Fattore di sconto</t>
  </si>
  <si>
    <t xml:space="preserve">Sinergia fiscale Space (PV, meno il valore delle perdite residue al 2036)</t>
  </si>
  <si>
    <t xml:space="preserve">Sinergia fiscale Connectivity (PV, meno il valore delle perdite residue al 2036)</t>
  </si>
  <si>
    <t xml:space="preserve">Sinergia fiscale AI (PV, meno il valore delle perdite residue al 2036)</t>
  </si>
  <si>
    <t xml:space="preserve">E4 totale</t>
  </si>
  <si>
    <t xml:space="preserve">Semplificazione: calcolo sui flussi attesi. Il secondo semestre 2026 resta senza imposte in entrambi i casi, come nella valutazione del gruppo (perdite pregresse).</t>
  </si>
  <si>
    <t xml:space="preserve">E6. Mercato interno dei capitali: costi di emissione che un'AI indipendente pagherebbe</t>
  </si>
  <si>
    <t xml:space="preserve">Il fabbisogno dell'AI (FCF atteso negativo) si copre prima con la cassa del gruppo e i flussi di Space e Connectivity (nessun costo); la parte che neanche il gruppo copre va sul mercato e costa a entrambi. Sinergia = costo evitato sulla parte interna.</t>
  </si>
  <si>
    <t xml:space="preserve">FCF atteso AI (da indipendente)</t>
  </si>
  <si>
    <t xml:space="preserve">FCF atteso Space + Connectivity</t>
  </si>
  <si>
    <t xml:space="preserve">Cassa disponibile</t>
  </si>
  <si>
    <t xml:space="preserve">Fabbisogno AI</t>
  </si>
  <si>
    <t xml:space="preserve">Coperto dalla cassa interna</t>
  </si>
  <si>
    <t xml:space="preserve">Coperto dal mercato</t>
  </si>
  <si>
    <t xml:space="preserve">Cassa di fine periodo</t>
  </si>
  <si>
    <t xml:space="preserve">Costo di emissione evitato</t>
  </si>
  <si>
    <t xml:space="preserve">Fattore di sconto (AI indip.)</t>
  </si>
  <si>
    <t xml:space="preserve">E6: PV dei costi di emissione evitati</t>
  </si>
  <si>
    <t xml:space="preserve">Fabbisogno AI totale</t>
  </si>
  <si>
    <t xml:space="preserve">di cui coperto dall'interno</t>
  </si>
  <si>
    <t xml:space="preserve">La cascata: dalle tre imprese indipendenti al gruppo SpaceX</t>
  </si>
  <si>
    <t xml:space="preserve">E = sinergie gia' contenute (senza dirlo) nei numeri dei segmenti; N = sinergia nuova; D = dis-sinergia. Gruppo = somma delle parti senza sconto di conglomerata + N1 (D1 e' gia' nei flussi dell'AI).</t>
  </si>
  <si>
    <t xml:space="preserve">Passo</t>
  </si>
  <si>
    <t xml:space="preserve">Cumulato</t>
  </si>
  <si>
    <t xml:space="preserve">$ per azione (cumulato)</t>
  </si>
  <si>
    <t xml:space="preserve">$ per azione (passo)</t>
  </si>
  <si>
    <t xml:space="preserve">Che cosa misura</t>
  </si>
  <si>
    <t xml:space="preserve">Tre imprese indipendenti</t>
  </si>
  <si>
    <t xml:space="preserve">controfattuale: probabilita', leva, fisco e finanziamento da impresa sola; AI senza sussidio</t>
  </si>
  <si>
    <t xml:space="preserve">E4 Consolidato fiscale</t>
  </si>
  <si>
    <t xml:space="preserve">le perdite di AI e Starship riducono subito le imposte del gruppo</t>
  </si>
  <si>
    <t xml:space="preserve">E6 Finanziamento interno</t>
  </si>
  <si>
    <t xml:space="preserve">la cassa di Starlink evita all'AI i costi di emissione (Stein 1997)</t>
  </si>
  <si>
    <t xml:space="preserve">E5 Capacita' di debito</t>
  </si>
  <si>
    <t xml:space="preserve">scudo fiscale sul debito in piu' (Lewellen 1971); il minor tasso in se' e' un trasferimento</t>
  </si>
  <si>
    <t xml:space="preserve">E1 Starship ha un cliente (Starlink)</t>
  </si>
  <si>
    <t xml:space="preserve">75% dei lanci Falcon 2025 per Starlink: cadenza e finanziamento di Starship</t>
  </si>
  <si>
    <t xml:space="preserve">E2 Starlink ha un lanciatore (Starship)</t>
  </si>
  <si>
    <t xml:space="preserve">i satelliti V3 progettati per Starship, con priorita' di lancio</t>
  </si>
  <si>
    <t xml:space="preserve">E3 Calcolo in orbita</t>
  </si>
  <si>
    <t xml:space="preserve">opzione che esiste solo se S2, S3 e C1 stanno nella stessa impresa</t>
  </si>
  <si>
    <t xml:space="preserve">N1 Difesa integrata</t>
  </si>
  <si>
    <t xml:space="preserve">lancio + costellazione + AI venduti insieme alla Difesa (Golden Dome)</t>
  </si>
  <si>
    <t xml:space="preserve">D1 Sussidio incrociato all'AI</t>
  </si>
  <si>
    <t xml:space="preserve">investimenti AI sotto il costo del capitale, pagati da Starlink (Scharfstein e Stein 2000)</t>
  </si>
  <si>
    <t xml:space="preserve">Gruppo SpaceX</t>
  </si>
  <si>
    <t xml:space="preserve">Sinergie gia' contenute nei segmenti (E1-E6)</t>
  </si>
  <si>
    <t xml:space="preserve">in % della somma delle parti</t>
  </si>
  <si>
    <t xml:space="preserve">Sinergie nette (gruppo - indipendenti)</t>
  </si>
  <si>
    <t xml:space="preserve">Excess value del gruppo = ln(gruppo / indipendenti)</t>
  </si>
  <si>
    <t xml:space="preserve">Controllo: gruppo - (somma delle parti senza conglomerata + N1) = 0</t>
  </si>
  <si>
    <t xml:space="preserve">Sensitivita' (si ottengono anche cambiando gli input gialli)</t>
  </si>
  <si>
    <t xml:space="preserve">Leva</t>
  </si>
  <si>
    <t xml:space="preserve">Basso</t>
  </si>
  <si>
    <t xml:space="preserve">Alto</t>
  </si>
  <si>
    <t xml:space="preserve">Sinergie nette, basso</t>
  </si>
  <si>
    <t xml:space="preserve">Sinergie nette, alto</t>
  </si>
  <si>
    <t xml:space="preserve">Nota</t>
  </si>
  <si>
    <t xml:space="preserve">Quota del sussidio evitabile (D1)</t>
  </si>
  <si>
    <t xml:space="preserve">cambia il valore delle parti separate, non quello del gruppo</t>
  </si>
  <si>
    <t xml:space="preserve">Costo di emissione (E6)</t>
  </si>
  <si>
    <t xml:space="preserve">E6 e' proporzionale al costo</t>
  </si>
  <si>
    <t xml:space="preserve">Probabilita' difesa integrata (N1)</t>
  </si>
  <si>
    <t xml:space="preserve">cambia anche il valore del gruppo</t>
  </si>
  <si>
    <t xml:space="preserve">Dettaglio D1: valore distrutto dagli investimenti AI sotto il WACC (gruppo)</t>
  </si>
  <si>
    <t xml:space="preserve">D1 = quota evitabile x valore distrutto</t>
  </si>
  <si>
    <t xml:space="preserve">Dettaglio N1: PV del blocco difesa integrata se riesce</t>
  </si>
  <si>
    <t xml:space="preserve">N1 = probabilita' x PV</t>
  </si>
  <si>
    <t xml:space="preserve">Dettaglio E5: indipendenti con leva AI del gruppo meno indipendenti con leva AI ridotta</t>
  </si>
  <si>
    <t xml:space="preserve">Tre imprese indipendenti, per segmento</t>
  </si>
  <si>
    <t xml:space="preserve">Somma</t>
  </si>
  <si>
    <t xml:space="preserve">EV netto = EV lordo x (1 - conglomerata) x (1 - governance); + posizione finanziaria al 30/6; capitalizzato al 7/10 al Ke di gruppo; valore per azione = (equity - intercetta dei claim) / (azioni + pendenza dei claim).</t>
  </si>
  <si>
    <t xml:space="preserve">Ke di gruppo per la capitalizzazione (media dei Ke post pesata sul valore a rischio)</t>
  </si>
  <si>
    <t xml:space="preserve">Dollari per azione per 1 mld di EV lordo (senza conglomerata)</t>
  </si>
  <si>
    <t xml:space="preserve">Somma delle parti (conglomerata 5%)</t>
  </si>
  <si>
    <t xml:space="preserve">Somma delle parti senza conglomerata</t>
  </si>
  <si>
    <t xml:space="preserve">Successo, somma delle parti (cong. 5%)</t>
  </si>
  <si>
    <t xml:space="preserve">Successo del gruppo</t>
  </si>
  <si>
    <t xml:space="preserve">EV lordo (somma)</t>
  </si>
  <si>
    <t xml:space="preserve">Sconto di conglomerata</t>
  </si>
  <si>
    <t xml:space="preserve">EV netto</t>
  </si>
  <si>
    <t xml:space="preserve">Posizione finanziaria e EchoStar</t>
  </si>
  <si>
    <t xml:space="preserve">Equity al 30/6/2026</t>
  </si>
  <si>
    <t xml:space="preserve">Equity al 7/10/2026</t>
  </si>
  <si>
    <t xml:space="preserve">Valore per azione ($)</t>
  </si>
  <si>
    <t xml:space="preserve">Prezzo di mercato / valore</t>
  </si>
  <si>
    <t xml:space="preserve">Successo del gruppo = somma dei segmenti nel successo + N1 se riesce - D1. Il valore per azione e' lineare nell'EV lordo (claim linearizzati).</t>
  </si>
  <si>
    <t xml:space="preserve">La fusione SpaceX - xAI (febbraio 2026) con gli strumenti del corso</t>
  </si>
  <si>
    <t xml:space="preserve">Fusione tutta in azioni: agli azionisti xAI una quota del gruppo. Guadagno di ciascun gruppo di soci = quota del valore del gruppo - valore della propria impresa da sola.</t>
  </si>
  <si>
    <t xml:space="preserve">Quota del gruppo data agli azionisti xAI</t>
  </si>
  <si>
    <t xml:space="preserve">Bloomberg: SpaceX 1.000 mld, xAI 250 mld [stampa]</t>
  </si>
  <si>
    <t xml:space="preserve">Space + Connectivity da sole (mld)</t>
  </si>
  <si>
    <t xml:space="preserve">xAI da sola (mld)</t>
  </si>
  <si>
    <t xml:space="preserve">Peso di xAI fra le parti indipendenti</t>
  </si>
  <si>
    <t xml:space="preserve">Valore del gruppo (mld)</t>
  </si>
  <si>
    <t xml:space="preserve">Azionisti SpaceX: quota del gruppo</t>
  </si>
  <si>
    <t xml:space="preserve">Azionisti SpaceX: guadagno</t>
  </si>
  <si>
    <t xml:space="preserve">Azionisti xAI: quota del gruppo</t>
  </si>
  <si>
    <t xml:space="preserve">Azionisti xAI: guadagno</t>
  </si>
  <si>
    <t xml:space="preserve">Sinergie nette create</t>
  </si>
  <si>
    <t xml:space="preserve">Quota delle sinergie agli azionisti SpaceX</t>
  </si>
  <si>
    <t xml:space="preserve">Quota massima cedibile da SpaceX senza perdere valore</t>
  </si>
  <si>
    <t xml:space="preserve">Premio massimo: oltre questa quota la fusione avrebbe tolto valore agli azionisti SpaceX</t>
  </si>
  <si>
    <t xml:space="preserve">Lettura: in una fusione in azioni le sinergie si dividono in base alla quota ceduta. xAI ha ricevuto il 20%, poco meno del suo peso fondamentale: quasi tutte le sinergie restano agli azionisti SpaceX. Nota: posizione finanziaria non ripartita (approssimazione).</t>
  </si>
  <si>
    <t xml:space="preserve">Gruppi multi-settore: excess value di Berger e Ofek (1995)</t>
  </si>
  <si>
    <t xml:space="preserve">Valore imputato = somma dei segmenti valutati al multiplo mediano EV/EBIT dei concorrenti specializzati. Excess value = ln(EV / imputato). Prezzi stockanalysis.com, chiusura del 9/10/2026; risultati dei segmenti dall'ultimo esercizio [SEC], portati ai 12 mesi con i ricavi.</t>
  </si>
  <si>
    <t xml:space="preserve">Concorrenti specializzati</t>
  </si>
  <si>
    <t xml:space="preserve">Ticker</t>
  </si>
  <si>
    <t xml:space="preserve">EV/EBIT</t>
  </si>
  <si>
    <t xml:space="preserve">WMT</t>
  </si>
  <si>
    <t xml:space="preserve">COST</t>
  </si>
  <si>
    <t xml:space="preserve">TGT</t>
  </si>
  <si>
    <t xml:space="preserve">ORCL</t>
  </si>
  <si>
    <t xml:space="preserve">MSFT</t>
  </si>
  <si>
    <t xml:space="preserve">RCL</t>
  </si>
  <si>
    <t xml:space="preserve">CCL</t>
  </si>
  <si>
    <t xml:space="preserve">FUN</t>
  </si>
  <si>
    <t xml:space="preserve">NFLX</t>
  </si>
  <si>
    <t xml:space="preserve">FOXA</t>
  </si>
  <si>
    <t xml:space="preserve">SKYD</t>
  </si>
  <si>
    <t xml:space="preserve">TDG</t>
  </si>
  <si>
    <t xml:space="preserve">HEI</t>
  </si>
  <si>
    <t xml:space="preserve">HWM</t>
  </si>
  <si>
    <t xml:space="preserve">GE</t>
  </si>
  <si>
    <t xml:space="preserve">LMT</t>
  </si>
  <si>
    <t xml:space="preserve">NOC</t>
  </si>
  <si>
    <t xml:space="preserve">GD</t>
  </si>
  <si>
    <t xml:space="preserve">LHX</t>
  </si>
  <si>
    <t xml:space="preserve">Fonte: stockanalysis.com, EV/EBIT ultimi 12 mesi, chiusura 9/10/2026.</t>
  </si>
  <si>
    <t xml:space="preserve">Amazon (Piattaforma integrata): AWS nasce dall'infrastruttura del retail; logistica, dati e pubblicita' condivisi</t>
  </si>
  <si>
    <t xml:space="preserve">EV (mld $)</t>
  </si>
  <si>
    <t xml:space="preserve">Ricavi 12 mesi / ricavi dell'esercizio</t>
  </si>
  <si>
    <t xml:space="preserve">EBIT 2025</t>
  </si>
  <si>
    <t xml:space="preserve">EBIT 12 mesi</t>
  </si>
  <si>
    <t xml:space="preserve">Multiplo mediano</t>
  </si>
  <si>
    <t xml:space="preserve">Valore imputato</t>
  </si>
  <si>
    <t xml:space="preserve">Concorrenti</t>
  </si>
  <si>
    <t xml:space="preserve">Retail (Nord America e Internazionale)</t>
  </si>
  <si>
    <t xml:space="preserve">WMT, COST, TGT</t>
  </si>
  <si>
    <t xml:space="preserve">AWS</t>
  </si>
  <si>
    <t xml:space="preserve">ORCL, MSFT</t>
  </si>
  <si>
    <t xml:space="preserve">Excess value = ln(EV / imputato)</t>
  </si>
  <si>
    <t xml:space="preserve">Fonte: Amazon, comunicato Q4 2025 (5/2/2026) [SEC 8-K]</t>
  </si>
  <si>
    <t xml:space="preserve">RTX (Industriale correlato): tre divisioni aerospaziali e di difesa con clienti in parte comuni, poco scambio interno</t>
  </si>
  <si>
    <t xml:space="preserve">Collins Aerospace</t>
  </si>
  <si>
    <t xml:space="preserve">TDG, HEI, HWM</t>
  </si>
  <si>
    <t xml:space="preserve">Pratt &amp; Whitney</t>
  </si>
  <si>
    <t xml:space="preserve">Raytheon</t>
  </si>
  <si>
    <t xml:space="preserve">LMT, NOC, GD, LHX</t>
  </si>
  <si>
    <t xml:space="preserve">Fonte: RTX, risultati 2025 (27/1/2026) e 10-K 2025</t>
  </si>
  <si>
    <t xml:space="preserve">Disney (Ecosistema di contenuti): le stesse storie alimentano film, streaming, parchi e prodotti</t>
  </si>
  <si>
    <t xml:space="preserve">EBIT FY2025 (set.)</t>
  </si>
  <si>
    <t xml:space="preserve">Experiences (parchi, crociere)</t>
  </si>
  <si>
    <t xml:space="preserve">RCL, CCL, FUN</t>
  </si>
  <si>
    <t xml:space="preserve">Entertainment</t>
  </si>
  <si>
    <t xml:space="preserve">NFLX, FOXA, SKYD</t>
  </si>
  <si>
    <t xml:space="preserve">Sports (ESPN)</t>
  </si>
  <si>
    <t xml:space="preserve">Fonte: Disney, risultati FY2025 (13/11/2025) [SEC 8-K EX-99.1]</t>
  </si>
  <si>
    <t xml:space="preserve">Holding quotate: sconto sul NAV</t>
  </si>
  <si>
    <t xml:space="preserve">Holding</t>
  </si>
  <si>
    <t xml:space="preserve">Sconto sul NAV</t>
  </si>
  <si>
    <t xml:space="preserve">Excess value</t>
  </si>
  <si>
    <t xml:space="preserve">Data</t>
  </si>
  <si>
    <t xml:space="preserve">Exor</t>
  </si>
  <si>
    <t xml:space="preserve">30/6/2026</t>
  </si>
  <si>
    <t xml:space="preserve">Exor, relazione semestrale 2026 (dichiarazione di J. Elkann, 22/9/2026) [stampa, Quartr, Teleborsa]</t>
  </si>
  <si>
    <t xml:space="preserve">SoftBank Group</t>
  </si>
  <si>
    <t xml:space="preserve">31/3/2026</t>
  </si>
  <si>
    <t xml:space="preserve">NAV dichiarato 7.029 yen per azione contro prezzo di 3.555 yen [stampa, calcolo di terzi]</t>
  </si>
  <si>
    <t xml:space="preserve">Porsche SE</t>
  </si>
  <si>
    <t xml:space="preserve">6/10/2026</t>
  </si>
  <si>
    <t xml:space="preserve">lavoro dell'autore su Porsche (report/_archivio/porsche, par. 9), NAV della semestrale 2026</t>
  </si>
  <si>
    <t xml:space="preserve">SpaceX nello stesso metro</t>
  </si>
  <si>
    <t xml:space="preserve">Il gruppo contro tre imprese indipendenti</t>
  </si>
  <si>
    <t xml:space="preserve">EV lordo implicito nel prezzo di mercato (senza governance)</t>
  </si>
  <si>
    <t xml:space="preserve">Prezzo di mercato contro tre imprese indipendenti</t>
  </si>
  <si>
    <t xml:space="preserve">SpaceX con l'excess value di Amazon (il migliore del campione), $ per azione</t>
  </si>
  <si>
    <t xml:space="preserve">Sinergie nette che servirebbero per arrivare al prezzo (mld)</t>
  </si>
  <si>
    <t xml:space="preserve">volte le sinergie nette stimate</t>
  </si>
  <si>
    <t xml:space="preserve">Letteratura</t>
  </si>
  <si>
    <t xml:space="preserve">Lang e Stulz (1994)</t>
  </si>
  <si>
    <t xml:space="preserve">sconto</t>
  </si>
  <si>
    <t xml:space="preserve">q di Tobin piu' bassa per le imprese diversificate</t>
  </si>
  <si>
    <t xml:space="preserve">Berger e Ofek (1995)</t>
  </si>
  <si>
    <t xml:space="preserve">-13% / -15%</t>
  </si>
  <si>
    <t xml:space="preserve">perdita media di valore 13-15%, minore se i segmenti sono dello stesso settore</t>
  </si>
  <si>
    <t xml:space="preserve">Campa e Kedia (2002)</t>
  </si>
  <si>
    <t xml:space="preserve">da sconto a premio</t>
  </si>
  <si>
    <t xml:space="preserve">lo sconto si riduce o diventa premio correggendo l'autoselezione</t>
  </si>
  <si>
    <t xml:space="preserve">Villalonga (2004)</t>
  </si>
  <si>
    <t xml:space="preserve">premio</t>
  </si>
  <si>
    <t xml:space="preserve">con dati per stabilimento: premio di diversificazione</t>
  </si>
  <si>
    <t xml:space="preserve">Rajan, Servaes e Zingales (2000)</t>
  </si>
  <si>
    <t xml:space="preserve">lo sconto cresce con la diversita' delle opportunita' fra segmenti (sussidi incrociati)</t>
  </si>
  <si>
    <t xml:space="preserve">Holding europee</t>
  </si>
  <si>
    <t xml:space="preserve">-36% / -58%</t>
  </si>
  <si>
    <t xml:space="preserve">sconto sul NAV strutturale (Exor, SoftBank, Porsche SE)</t>
  </si>
  <si>
    <t xml:space="preserve">Controlli: Excel contro il modello Python</t>
  </si>
  <si>
    <t xml:space="preserve">Colonna C: risultato del modello di calcolo in Python dell'autore (testo di riferimento, non formula). Colonna D: differenza. Le piccole differenze sul valore per azione vengono dalla linearizzazione dei claim azionari (tarata fra 45 e 90 $: fuori da quell'intervallo, ai multipli dei panieri o con l'AI come un hyperscaler, lo scarto sale a 3-6 centesimi).</t>
  </si>
  <si>
    <t xml:space="preserve">Grandezza</t>
  </si>
  <si>
    <t xml:space="preserve">Excel</t>
  </si>
  <si>
    <t xml:space="preserve">Python</t>
  </si>
  <si>
    <t xml:space="preserve">Differenza</t>
  </si>
  <si>
    <t xml:space="preserve">Somma delle parti a rischio (mld)</t>
  </si>
  <si>
    <t xml:space="preserve">Somma delle parti nel successo (mld)</t>
  </si>
  <si>
    <t xml:space="preserve">Space a rischio</t>
  </si>
  <si>
    <t xml:space="preserve">Connectivity a rischio</t>
  </si>
  <si>
    <t xml:space="preserve">AI a rischio</t>
  </si>
  <si>
    <t xml:space="preserve">Valore per azione, somma delle parti ($)</t>
  </si>
  <si>
    <t xml:space="preserve">Valore per azione nel successo ($)</t>
  </si>
  <si>
    <t xml:space="preserve">Tre imprese indipendenti (mld)</t>
  </si>
  <si>
    <t xml:space="preserve">Gruppo (mld)</t>
  </si>
  <si>
    <t xml:space="preserve">Valore per azione parti separate ($)</t>
  </si>
  <si>
    <t xml:space="preserve">Valore per azione del gruppo ($)</t>
  </si>
  <si>
    <t xml:space="preserve">Sinergie gia' nei segmenti (mld)</t>
  </si>
  <si>
    <t xml:space="preserve">Excess value del gruppo</t>
  </si>
  <si>
    <t xml:space="preserve">Excess value implicito nel prezzo</t>
  </si>
  <si>
    <t xml:space="preserve">Multipli dei panieri, $ per azione (basso)</t>
  </si>
  <si>
    <t xml:space="preserve">Multipli dei panieri, $ per azione (alto)</t>
  </si>
  <si>
    <t xml:space="preserve">AI come i laboratori, $ per azione (alto)</t>
  </si>
  <si>
    <t xml:space="preserve">Multiplo richiesto a Starlink</t>
  </si>
  <si>
    <t xml:space="preserve">Ricavi 2036 impliciti nel prezzo (mld)</t>
  </si>
  <si>
    <t xml:space="preserve">Quota del prezzo spiegata dai flussi</t>
  </si>
  <si>
    <t xml:space="preserve">AI come hyperscaler e certa, $ per azione (basso)</t>
  </si>
  <si>
    <t xml:space="preserve">AI come hyperscaler e certa, $ per azione (alto)</t>
  </si>
  <si>
    <t xml:space="preserve">Mediana target consorzio</t>
  </si>
  <si>
    <t xml:space="preserve">Mediana target fuori consorzio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</si>
</sst>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\$#,##0.00;&quot;($&quot;#,##0.00\);\-"/>
    <numFmt numFmtId="166" formatCode="#,##0.0;\(#,##0.0\);\-"/>
    <numFmt numFmtId="167" formatCode="#,##0.00;\(#,##0.00\);\-"/>
    <numFmt numFmtId="168" formatCode="0.0\x"/>
    <numFmt numFmtId="169" formatCode="0\x"/>
    <numFmt numFmtId="170" formatCode="0.00\x"/>
    <numFmt numFmtId="171" formatCode="0.0%;\(0.0%\);\-"/>
    <numFmt numFmtId="172" formatCode="0"/>
    <numFmt numFmtId="173" formatCode="0.0"/>
    <numFmt numFmtId="174" formatCode="0.00%;\(0.00%\);\-"/>
    <numFmt numFmtId="175" formatCode="0.000;\(0.000\);\-"/>
    <numFmt numFmtId="176" formatCode="#,##0.0"/>
    <numFmt numFmtId="177" formatCode="0.0000"/>
    <numFmt numFmtId="178" formatCode="0.000;\-0.00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7EBF2"/>
        <bgColor rgb="FFFFF4D6"/>
      </patternFill>
    </fill>
    <fill>
      <patternFill patternType="solid">
        <fgColor rgb="FFFFF4D6"/>
        <bgColor rgb="FFFF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7EB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0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</v>
      </c>
    </row>
    <row r="4" customFormat="false" ht="30" hidden="false" customHeight="true" outlineLevel="0" collapsed="false">
      <c r="A4" s="4" t="s">
        <v>2</v>
      </c>
      <c r="B4" s="5" t="s">
        <v>3</v>
      </c>
    </row>
    <row r="6" customFormat="false" ht="75" hidden="false" customHeight="true" outlineLevel="0" collapsed="false">
      <c r="A6" s="4" t="s">
        <v>4</v>
      </c>
      <c r="B6" s="5" t="s">
        <v>5</v>
      </c>
    </row>
    <row r="8" customFormat="false" ht="60" hidden="false" customHeight="true" outlineLevel="0" collapsed="false">
      <c r="A8" s="4" t="s">
        <v>6</v>
      </c>
      <c r="B8" s="5" t="s">
        <v>7</v>
      </c>
    </row>
    <row r="10" customFormat="false" ht="30" hidden="false" customHeight="true" outlineLevel="0" collapsed="false">
      <c r="A10" s="4" t="s">
        <v>8</v>
      </c>
      <c r="B10" s="5" t="s">
        <v>9</v>
      </c>
    </row>
    <row r="12" customFormat="false" ht="45" hidden="false" customHeight="true" outlineLevel="0" collapsed="false">
      <c r="A12" s="4" t="s">
        <v>10</v>
      </c>
      <c r="B12" s="5" t="s">
        <v>11</v>
      </c>
    </row>
    <row r="14" customFormat="false" ht="45" hidden="false" customHeight="true" outlineLevel="0" collapsed="false">
      <c r="A14" s="4" t="s">
        <v>12</v>
      </c>
      <c r="B14" s="5" t="s">
        <v>13</v>
      </c>
    </row>
    <row r="16" customFormat="false" ht="30" hidden="false" customHeight="true" outlineLevel="0" collapsed="false">
      <c r="A16" s="4" t="s">
        <v>14</v>
      </c>
      <c r="B16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4"/>
    <col collapsed="false" customWidth="true" hidden="false" outlineLevel="0" max="6" min="6" style="0" width="70"/>
  </cols>
  <sheetData>
    <row r="1" customFormat="false" ht="24" hidden="false" customHeight="true" outlineLevel="0" collapsed="false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17</v>
      </c>
    </row>
    <row r="4" customFormat="false" ht="15" hidden="false" customHeight="false" outlineLevel="0" collapsed="false">
      <c r="A4" s="6" t="s">
        <v>18</v>
      </c>
      <c r="B4" s="7"/>
      <c r="C4" s="7"/>
      <c r="D4" s="7"/>
      <c r="E4" s="7"/>
      <c r="F4" s="7"/>
    </row>
    <row r="5" customFormat="false" ht="15" hidden="false" customHeight="false" outlineLevel="0" collapsed="false">
      <c r="A5" s="8" t="s">
        <v>19</v>
      </c>
      <c r="B5" s="9" t="n">
        <f aca="false">Input!$B$40</f>
        <v>167.6</v>
      </c>
    </row>
    <row r="6" customFormat="false" ht="15" hidden="false" customHeight="false" outlineLevel="0" collapsed="false">
      <c r="A6" s="8" t="s">
        <v>20</v>
      </c>
      <c r="B6" s="9" t="n">
        <f aca="false">Input!$B$41</f>
        <v>135</v>
      </c>
    </row>
    <row r="7" customFormat="false" ht="15" hidden="false" customHeight="false" outlineLevel="0" collapsed="false">
      <c r="A7" s="8" t="s">
        <v>21</v>
      </c>
      <c r="B7" s="10" t="n">
        <f aca="false">Input!$B$42</f>
        <v>2157.75640878065</v>
      </c>
    </row>
    <row r="8" customFormat="false" ht="15" hidden="false" customHeight="false" outlineLevel="0" collapsed="false">
      <c r="A8" s="8" t="s">
        <v>22</v>
      </c>
      <c r="B8" s="11" t="n">
        <v>23.04</v>
      </c>
      <c r="F8" s="3" t="s">
        <v>23</v>
      </c>
    </row>
    <row r="9" customFormat="false" ht="15" hidden="false" customHeight="false" outlineLevel="0" collapsed="false">
      <c r="A9" s="8" t="s">
        <v>24</v>
      </c>
      <c r="B9" s="11" t="n">
        <v>8.31</v>
      </c>
      <c r="F9" s="3" t="s">
        <v>25</v>
      </c>
    </row>
    <row r="10" customFormat="false" ht="15" hidden="false" customHeight="false" outlineLevel="0" collapsed="false">
      <c r="A10" s="8" t="s">
        <v>26</v>
      </c>
      <c r="B10" s="12" t="n">
        <v>3.6</v>
      </c>
      <c r="F10" s="3" t="s">
        <v>27</v>
      </c>
    </row>
    <row r="11" customFormat="false" ht="15" hidden="false" customHeight="false" outlineLevel="0" collapsed="false">
      <c r="A11" s="8" t="s">
        <v>28</v>
      </c>
      <c r="B11" s="12" t="n">
        <v>17</v>
      </c>
      <c r="F11" s="3" t="s">
        <v>27</v>
      </c>
    </row>
    <row r="12" customFormat="false" ht="15" hidden="false" customHeight="false" outlineLevel="0" collapsed="false">
      <c r="A12" s="8" t="s">
        <v>29</v>
      </c>
      <c r="B12" s="12" t="n">
        <v>17</v>
      </c>
      <c r="F12" s="3" t="s">
        <v>27</v>
      </c>
    </row>
    <row r="13" customFormat="false" ht="15" hidden="false" customHeight="false" outlineLevel="0" collapsed="false">
      <c r="A13" s="8" t="s">
        <v>30</v>
      </c>
      <c r="B13" s="13" t="n">
        <f aca="false">Prezzo!$B$7/Prezzo!$B$8</f>
        <v>93.6526219088823</v>
      </c>
    </row>
    <row r="14" customFormat="false" ht="15" hidden="false" customHeight="false" outlineLevel="0" collapsed="false">
      <c r="A14" s="8" t="s">
        <v>31</v>
      </c>
      <c r="B14" s="14" t="n">
        <f aca="false">Prezzo!$B$7/Prezzo!$B$9</f>
        <v>259.657810924266</v>
      </c>
    </row>
    <row r="15" customFormat="false" ht="15" hidden="false" customHeight="false" outlineLevel="0" collapsed="false">
      <c r="A15" s="8" t="s">
        <v>32</v>
      </c>
      <c r="B15" s="13" t="n">
        <f aca="false">Prezzo!$B$7/SUM(Prezzo!$B$10,Prezzo!$B$11,Prezzo!$B$12)</f>
        <v>57.3871385314002</v>
      </c>
    </row>
    <row r="17" customFormat="false" ht="15" hidden="false" customHeight="false" outlineLevel="0" collapsed="false">
      <c r="A17" s="6" t="s">
        <v>33</v>
      </c>
      <c r="B17" s="7"/>
      <c r="C17" s="7"/>
      <c r="D17" s="7"/>
      <c r="E17" s="7"/>
      <c r="F17" s="7"/>
    </row>
    <row r="18" customFormat="false" ht="15" hidden="false" customHeight="false" outlineLevel="0" collapsed="false">
      <c r="A18" s="4" t="s">
        <v>34</v>
      </c>
      <c r="B18" s="4" t="s">
        <v>35</v>
      </c>
      <c r="C18" s="4" t="s">
        <v>36</v>
      </c>
      <c r="D18" s="4" t="s">
        <v>37</v>
      </c>
      <c r="E18" s="4" t="s">
        <v>38</v>
      </c>
      <c r="F18" s="4" t="s">
        <v>39</v>
      </c>
    </row>
    <row r="19" customFormat="false" ht="15" hidden="false" customHeight="false" outlineLevel="0" collapsed="false">
      <c r="A19" s="8" t="s">
        <v>40</v>
      </c>
      <c r="B19" s="11" t="n">
        <v>1.77</v>
      </c>
      <c r="C19" s="11" t="n">
        <v>1.92</v>
      </c>
      <c r="D19" s="15" t="n">
        <f aca="false">MIN(B19,C19)*Prezzo!$B$10</f>
        <v>6.372</v>
      </c>
      <c r="E19" s="15" t="n">
        <f aca="false">MAX(B19,C19)*Prezzo!$B$10</f>
        <v>6.912</v>
      </c>
      <c r="F19" s="3" t="s">
        <v>41</v>
      </c>
    </row>
    <row r="20" customFormat="false" ht="15" hidden="false" customHeight="false" outlineLevel="0" collapsed="false">
      <c r="A20" s="8" t="s">
        <v>42</v>
      </c>
      <c r="B20" s="11" t="n">
        <v>2.65</v>
      </c>
      <c r="C20" s="11" t="n">
        <v>2.68</v>
      </c>
      <c r="D20" s="15" t="n">
        <f aca="false">MIN(B20,C20)*Prezzo!$B$11</f>
        <v>45.05</v>
      </c>
      <c r="E20" s="15" t="n">
        <f aca="false">MAX(B20,C20)*Prezzo!$B$11</f>
        <v>45.56</v>
      </c>
      <c r="F20" s="3" t="s">
        <v>41</v>
      </c>
    </row>
    <row r="21" customFormat="false" ht="15" hidden="false" customHeight="false" outlineLevel="0" collapsed="false">
      <c r="A21" s="8" t="s">
        <v>43</v>
      </c>
      <c r="B21" s="11" t="n">
        <v>5.43</v>
      </c>
      <c r="C21" s="11" t="n">
        <v>7.89</v>
      </c>
      <c r="D21" s="15" t="n">
        <f aca="false">MIN(B21,C21)*Prezzo!$B$12</f>
        <v>92.31</v>
      </c>
      <c r="E21" s="15" t="n">
        <f aca="false">MAX(B21,C21)*Prezzo!$B$12</f>
        <v>134.13</v>
      </c>
      <c r="F21" s="3" t="s">
        <v>41</v>
      </c>
    </row>
    <row r="22" customFormat="false" ht="15" hidden="false" customHeight="false" outlineLevel="0" collapsed="false">
      <c r="A22" s="4" t="s">
        <v>44</v>
      </c>
      <c r="D22" s="15" t="n">
        <f aca="false">SUM(D19:D21)</f>
        <v>143.732</v>
      </c>
      <c r="E22" s="15" t="n">
        <f aca="false">SUM(E19:E21)</f>
        <v>186.602</v>
      </c>
    </row>
    <row r="23" customFormat="false" ht="15" hidden="false" customHeight="false" outlineLevel="0" collapsed="false">
      <c r="A23" s="8" t="s">
        <v>45</v>
      </c>
      <c r="D23" s="16" t="n">
        <f aca="false">(((D22)+Input!$B$33)*(1+Ponte!$B$4)^Input!$B$34-Input!$B$36)/(Input!$B$35/1000+Input!$B$37)</f>
        <v>15.4320835802066</v>
      </c>
      <c r="E23" s="16" t="n">
        <f aca="false">(((E22)+Input!$B$33)*(1+Ponte!$B$4)^Input!$B$34-Input!$B$36)/(Input!$B$35/1000+Input!$B$37)</f>
        <v>18.7483586949721</v>
      </c>
    </row>
    <row r="25" customFormat="false" ht="15" hidden="false" customHeight="false" outlineLevel="0" collapsed="false">
      <c r="A25" s="17" t="s">
        <v>46</v>
      </c>
      <c r="B25" s="4" t="s">
        <v>47</v>
      </c>
      <c r="C25" s="4" t="s">
        <v>48</v>
      </c>
      <c r="D25" s="4" t="s">
        <v>49</v>
      </c>
    </row>
    <row r="26" customFormat="false" ht="15" hidden="false" customHeight="false" outlineLevel="0" collapsed="false">
      <c r="A26" s="8" t="s">
        <v>50</v>
      </c>
      <c r="B26" s="12" t="n">
        <v>852</v>
      </c>
      <c r="C26" s="12" t="n">
        <v>31.2</v>
      </c>
      <c r="D26" s="18" t="n">
        <f aca="false">B26/C26</f>
        <v>27.3076923076923</v>
      </c>
      <c r="F26" s="3" t="s">
        <v>51</v>
      </c>
    </row>
    <row r="27" customFormat="false" ht="15" hidden="false" customHeight="false" outlineLevel="0" collapsed="false">
      <c r="A27" s="8" t="s">
        <v>52</v>
      </c>
      <c r="B27" s="12" t="n">
        <v>1400</v>
      </c>
      <c r="C27" s="12" t="n">
        <v>70</v>
      </c>
      <c r="D27" s="18" t="n">
        <f aca="false">B27/C27</f>
        <v>20</v>
      </c>
      <c r="F27" s="3" t="s">
        <v>51</v>
      </c>
    </row>
    <row r="28" customFormat="false" ht="15" hidden="false" customHeight="false" outlineLevel="0" collapsed="false">
      <c r="A28" s="8" t="s">
        <v>53</v>
      </c>
      <c r="B28" s="12" t="n">
        <v>380</v>
      </c>
      <c r="C28" s="12" t="n">
        <v>14</v>
      </c>
      <c r="D28" s="18" t="n">
        <f aca="false">B28/C28</f>
        <v>27.1428571428571</v>
      </c>
      <c r="F28" s="3" t="s">
        <v>51</v>
      </c>
    </row>
    <row r="29" customFormat="false" ht="15" hidden="false" customHeight="false" outlineLevel="0" collapsed="false">
      <c r="A29" s="8" t="s">
        <v>54</v>
      </c>
      <c r="B29" s="12" t="n">
        <v>800</v>
      </c>
      <c r="C29" s="12" t="n">
        <v>30</v>
      </c>
      <c r="D29" s="18" t="n">
        <f aca="false">B29/C29</f>
        <v>26.6666666666667</v>
      </c>
      <c r="F29" s="3" t="s">
        <v>51</v>
      </c>
    </row>
    <row r="30" customFormat="false" ht="15" hidden="false" customHeight="false" outlineLevel="0" collapsed="false">
      <c r="A30" s="8" t="s">
        <v>55</v>
      </c>
      <c r="D30" s="15" t="n">
        <f aca="false">MIN(D26:D29)*Prezzo!$B$12</f>
        <v>340</v>
      </c>
      <c r="E30" s="15" t="n">
        <f aca="false">MAX(D26:D29)*Prezzo!$B$12</f>
        <v>464.230769230769</v>
      </c>
    </row>
    <row r="31" customFormat="false" ht="15" hidden="false" customHeight="false" outlineLevel="0" collapsed="false">
      <c r="A31" s="8" t="s">
        <v>56</v>
      </c>
      <c r="D31" s="15" t="n">
        <f aca="false">E19+E20+D30</f>
        <v>392.472</v>
      </c>
      <c r="E31" s="15" t="n">
        <f aca="false">E19+E20+E30</f>
        <v>516.702769230769</v>
      </c>
    </row>
    <row r="32" customFormat="false" ht="15" hidden="false" customHeight="false" outlineLevel="0" collapsed="false">
      <c r="A32" s="8" t="s">
        <v>45</v>
      </c>
      <c r="D32" s="16" t="n">
        <f aca="false">(((D31)+Input!$B$33)*(1+Ponte!$B$4)^Input!$B$34-Input!$B$36)/(Input!$B$35/1000+Input!$B$37)</f>
        <v>34.6737507611439</v>
      </c>
      <c r="E32" s="16" t="n">
        <f aca="false">(((E31)+Input!$B$33)*(1+Ponte!$B$4)^Input!$B$34-Input!$B$36)/(Input!$B$35/1000+Input!$B$37)</f>
        <v>44.2838139402477</v>
      </c>
    </row>
    <row r="33" customFormat="false" ht="15" hidden="false" customHeight="false" outlineLevel="0" collapsed="false">
      <c r="A33" s="8" t="s">
        <v>57</v>
      </c>
      <c r="B33" s="15" t="n">
        <f aca="false">(Prezzo!$B$5*(Input!$B$35/1000+Input!$B$37)+Input!$B$36)/(1+Ponte!$B$4)^Input!$B$34-Input!$B$33</f>
        <v>2110.83013002886</v>
      </c>
      <c r="F33" s="3" t="s">
        <v>58</v>
      </c>
    </row>
    <row r="34" customFormat="false" ht="15" hidden="false" customHeight="false" outlineLevel="0" collapsed="false">
      <c r="A34" s="8" t="s">
        <v>59</v>
      </c>
      <c r="B34" s="15" t="n">
        <f aca="false">Prezzo!$B$33-E19-E30</f>
        <v>1639.68736079809</v>
      </c>
    </row>
    <row r="35" customFormat="false" ht="15" hidden="false" customHeight="false" outlineLevel="0" collapsed="false">
      <c r="A35" s="8" t="s">
        <v>60</v>
      </c>
      <c r="B35" s="13" t="n">
        <f aca="false">Prezzo!$B$34/Prezzo!$B$11</f>
        <v>96.4521976940052</v>
      </c>
      <c r="F35" s="3" t="s">
        <v>61</v>
      </c>
    </row>
    <row r="37" customFormat="false" ht="15" hidden="false" customHeight="false" outlineLevel="0" collapsed="false">
      <c r="A37" s="6" t="s">
        <v>62</v>
      </c>
      <c r="B37" s="7"/>
      <c r="C37" s="7"/>
      <c r="D37" s="7"/>
      <c r="E37" s="7"/>
      <c r="F37" s="7"/>
    </row>
    <row r="38" customFormat="false" ht="15" hidden="false" customHeight="false" outlineLevel="0" collapsed="false">
      <c r="A38" s="3" t="s">
        <v>63</v>
      </c>
    </row>
    <row r="39" customFormat="false" ht="15" hidden="false" customHeight="false" outlineLevel="0" collapsed="false">
      <c r="A39" s="8" t="s">
        <v>64</v>
      </c>
      <c r="B39" s="12" t="n">
        <v>152</v>
      </c>
      <c r="F39" s="3" t="s">
        <v>65</v>
      </c>
    </row>
    <row r="40" customFormat="false" ht="15" hidden="false" customHeight="false" outlineLevel="0" collapsed="false">
      <c r="A40" s="8" t="s">
        <v>66</v>
      </c>
      <c r="B40" s="12" t="n">
        <v>588</v>
      </c>
      <c r="F40" s="3" t="s">
        <v>65</v>
      </c>
    </row>
    <row r="41" customFormat="false" ht="15" hidden="false" customHeight="false" outlineLevel="0" collapsed="false">
      <c r="A41" s="8" t="s">
        <v>67</v>
      </c>
      <c r="B41" s="15" t="n">
        <f aca="false">Prezzo!$B$39+Prezzo!$B$40</f>
        <v>740</v>
      </c>
    </row>
    <row r="42" customFormat="false" ht="15" hidden="false" customHeight="false" outlineLevel="0" collapsed="false">
      <c r="A42" s="8" t="s">
        <v>68</v>
      </c>
      <c r="B42" s="19" t="n">
        <v>4.71670179698313</v>
      </c>
      <c r="F42" s="3" t="s">
        <v>69</v>
      </c>
    </row>
    <row r="43" customFormat="false" ht="15" hidden="false" customHeight="false" outlineLevel="0" collapsed="false">
      <c r="A43" s="8" t="s">
        <v>70</v>
      </c>
      <c r="B43" s="20" t="n">
        <f aca="false">Prezzo!$B$39+Prezzo!$B$42*Prezzo!$B$40</f>
        <v>2925.42065662608</v>
      </c>
    </row>
    <row r="44" customFormat="false" ht="15" hidden="false" customHeight="false" outlineLevel="0" collapsed="false">
      <c r="A44" s="8" t="s">
        <v>71</v>
      </c>
      <c r="B44" s="19" t="n">
        <v>3.58972037324513</v>
      </c>
      <c r="F44" s="3" t="s">
        <v>69</v>
      </c>
    </row>
    <row r="45" customFormat="false" ht="15" hidden="false" customHeight="false" outlineLevel="0" collapsed="false">
      <c r="A45" s="8" t="s">
        <v>72</v>
      </c>
      <c r="B45" s="20" t="n">
        <f aca="false">Prezzo!$B$39+Prezzo!$B$44*Prezzo!$B$40</f>
        <v>2262.75557946814</v>
      </c>
    </row>
    <row r="46" customFormat="false" ht="15" hidden="false" customHeight="false" outlineLevel="0" collapsed="false">
      <c r="A46" s="8" t="s">
        <v>73</v>
      </c>
      <c r="B46" s="12" t="n">
        <v>716.9</v>
      </c>
      <c r="F46" s="3" t="s">
        <v>74</v>
      </c>
    </row>
    <row r="47" customFormat="false" ht="15" hidden="false" customHeight="false" outlineLevel="0" collapsed="false">
      <c r="A47" s="8" t="s">
        <v>75</v>
      </c>
      <c r="B47" s="18" t="n">
        <f aca="false">Prezzo!$B$43/Prezzo!$B$46</f>
        <v>4.08065372663702</v>
      </c>
    </row>
    <row r="49" customFormat="false" ht="15" hidden="false" customHeight="false" outlineLevel="0" collapsed="false">
      <c r="A49" s="3" t="s">
        <v>76</v>
      </c>
    </row>
    <row r="50" customFormat="false" ht="15" hidden="false" customHeight="false" outlineLevel="0" collapsed="false">
      <c r="A50" s="4" t="s">
        <v>77</v>
      </c>
      <c r="B50" s="4" t="s">
        <v>78</v>
      </c>
      <c r="C50" s="4" t="s">
        <v>79</v>
      </c>
      <c r="D50" s="4" t="s">
        <v>80</v>
      </c>
      <c r="E50" s="4" t="s">
        <v>81</v>
      </c>
    </row>
    <row r="51" customFormat="false" ht="15" hidden="false" customHeight="false" outlineLevel="0" collapsed="false">
      <c r="A51" s="8" t="s">
        <v>82</v>
      </c>
      <c r="B51" s="12" t="n">
        <v>138.88536010873</v>
      </c>
      <c r="C51" s="12" t="n">
        <v>138.88536010873</v>
      </c>
      <c r="D51" s="16" t="n">
        <f aca="false">(((Sinergie!$B$14-138.88536010873+B51)*(1-Input!$B$38)+Input!$B$33)*(1+Ponte!$B$4)^Input!$B$34-Input!$B$36)/(Input!$B$35/1000+Input!$B$37)</f>
        <v>60.056741862029</v>
      </c>
      <c r="E51" s="16" t="n">
        <f aca="false">(((Sinergie!$B$14-138.88536010873+C51)*(1-Input!$B$38)+Input!$B$33)*(1+Ponte!$B$4)^Input!$B$34-Input!$B$36)/(Input!$B$35/1000+Input!$B$37)</f>
        <v>60.056741862029</v>
      </c>
      <c r="F51" s="3" t="s">
        <v>83</v>
      </c>
    </row>
    <row r="52" customFormat="false" ht="15" hidden="false" customHeight="false" outlineLevel="0" collapsed="false">
      <c r="A52" s="8" t="s">
        <v>84</v>
      </c>
      <c r="B52" s="12" t="n">
        <v>394.886676905596</v>
      </c>
      <c r="C52" s="12" t="n">
        <v>394.886676905596</v>
      </c>
      <c r="D52" s="16" t="n">
        <f aca="false">(((Sinergie!$B$14-138.88536010873+B52)*(1-Input!$B$38)+Input!$B$33)*(1+Ponte!$B$4)^Input!$B$34-Input!$B$36)/(Input!$B$35/1000+Input!$B$37)</f>
        <v>79.1670012129092</v>
      </c>
      <c r="E52" s="16" t="n">
        <f aca="false">(((Sinergie!$B$14-138.88536010873+C52)*(1-Input!$B$38)+Input!$B$33)*(1+Ponte!$B$4)^Input!$B$34-Input!$B$36)/(Input!$B$35/1000+Input!$B$37)</f>
        <v>79.1670012129092</v>
      </c>
      <c r="F52" s="3" t="s">
        <v>83</v>
      </c>
    </row>
    <row r="53" customFormat="false" ht="15" hidden="false" customHeight="false" outlineLevel="0" collapsed="false">
      <c r="A53" s="8" t="s">
        <v>85</v>
      </c>
      <c r="B53" s="12" t="n">
        <v>710.163377480954</v>
      </c>
      <c r="C53" s="12" t="n">
        <v>826.179946084019</v>
      </c>
      <c r="D53" s="16" t="n">
        <f aca="false">(((Sinergie!$B$14-138.88536010873+B53)*(1-Input!$B$38)+Input!$B$33)*(1+Ponte!$B$4)^Input!$B$34-Input!$B$36)/(Input!$B$35/1000+Input!$B$37)</f>
        <v>102.70211263605</v>
      </c>
      <c r="E53" s="16" t="n">
        <f aca="false">(((Sinergie!$B$14-138.88536010873+C53)*(1-Input!$B$38)+Input!$B$33)*(1+Ponte!$B$4)^Input!$B$34-Input!$B$36)/(Input!$B$35/1000+Input!$B$37)</f>
        <v>111.362641194045</v>
      </c>
      <c r="F53" s="3" t="s">
        <v>83</v>
      </c>
    </row>
    <row r="54" customFormat="false" ht="15" hidden="false" customHeight="false" outlineLevel="0" collapsed="false">
      <c r="A54" s="8" t="s">
        <v>86</v>
      </c>
      <c r="B54" s="12" t="n">
        <v>1373.19542056026</v>
      </c>
      <c r="C54" s="12" t="n">
        <v>1780.85850671527</v>
      </c>
      <c r="D54" s="16" t="n">
        <f aca="false">(((Sinergie!$B$14-138.88536010873+B54)*(1-Input!$B$38)+Input!$B$33)*(1+Ponte!$B$4)^Input!$B$34-Input!$B$36)/(Input!$B$35/1000+Input!$B$37)</f>
        <v>152.196835787195</v>
      </c>
      <c r="E54" s="16" t="n">
        <f aca="false">(((Sinergie!$B$14-138.88536010873+C54)*(1-Input!$B$38)+Input!$B$33)*(1+Ponte!$B$4)^Input!$B$34-Input!$B$36)/(Input!$B$35/1000+Input!$B$37)</f>
        <v>182.628504661712</v>
      </c>
      <c r="F54" s="3" t="s">
        <v>83</v>
      </c>
    </row>
    <row r="56" customFormat="false" ht="15" hidden="false" customHeight="false" outlineLevel="0" collapsed="false">
      <c r="A56" s="6" t="s">
        <v>87</v>
      </c>
      <c r="B56" s="7"/>
      <c r="C56" s="7"/>
      <c r="D56" s="7"/>
      <c r="E56" s="7"/>
      <c r="F56" s="7"/>
    </row>
    <row r="57" customFormat="false" ht="15" hidden="false" customHeight="false" outlineLevel="0" collapsed="false">
      <c r="A57" s="8" t="s">
        <v>88</v>
      </c>
      <c r="B57" s="9" t="n">
        <f aca="false">Ponte!$E$15</f>
        <v>60.056741862029</v>
      </c>
    </row>
    <row r="58" customFormat="false" ht="15" hidden="false" customHeight="false" outlineLevel="0" collapsed="false">
      <c r="A58" s="8" t="s">
        <v>89</v>
      </c>
      <c r="B58" s="21" t="n">
        <f aca="false">Prezzo!$B$57/Prezzo!$B$5</f>
        <v>0.358333781993013</v>
      </c>
    </row>
    <row r="59" customFormat="false" ht="15" hidden="false" customHeight="false" outlineLevel="0" collapsed="false">
      <c r="A59" s="8" t="s">
        <v>90</v>
      </c>
      <c r="B59" s="21" t="n">
        <f aca="false">Prezzo!$B$57/Prezzo!$B$6</f>
        <v>0.444864754533548</v>
      </c>
    </row>
    <row r="60" customFormat="false" ht="15" hidden="false" customHeight="false" outlineLevel="0" collapsed="false">
      <c r="A60" s="8" t="s">
        <v>91</v>
      </c>
      <c r="B60" s="9" t="n">
        <f aca="false">Ponte!$F$15</f>
        <v>89.9520296405152</v>
      </c>
    </row>
    <row r="62" customFormat="false" ht="15" hidden="false" customHeight="false" outlineLevel="0" collapsed="false">
      <c r="A62" s="6" t="s">
        <v>92</v>
      </c>
      <c r="B62" s="7"/>
      <c r="C62" s="7"/>
      <c r="D62" s="7"/>
      <c r="E62" s="7"/>
      <c r="F62" s="7"/>
    </row>
    <row r="63" customFormat="false" ht="15" hidden="false" customHeight="false" outlineLevel="0" collapsed="false">
      <c r="A63" s="4" t="s">
        <v>93</v>
      </c>
      <c r="B63" s="4" t="s">
        <v>94</v>
      </c>
      <c r="C63" s="4" t="s">
        <v>95</v>
      </c>
    </row>
    <row r="64" customFormat="false" ht="15" hidden="false" customHeight="false" outlineLevel="0" collapsed="false">
      <c r="A64" s="8" t="s">
        <v>96</v>
      </c>
      <c r="B64" s="22" t="n">
        <v>300</v>
      </c>
      <c r="C64" s="8" t="s">
        <v>97</v>
      </c>
      <c r="F64" s="3" t="s">
        <v>98</v>
      </c>
    </row>
    <row r="65" customFormat="false" ht="15" hidden="false" customHeight="false" outlineLevel="0" collapsed="false">
      <c r="A65" s="8" t="s">
        <v>99</v>
      </c>
      <c r="B65" s="22" t="n">
        <v>235</v>
      </c>
      <c r="C65" s="8" t="s">
        <v>97</v>
      </c>
      <c r="F65" s="3" t="s">
        <v>98</v>
      </c>
    </row>
    <row r="66" customFormat="false" ht="15" hidden="false" customHeight="false" outlineLevel="0" collapsed="false">
      <c r="A66" s="8" t="s">
        <v>100</v>
      </c>
      <c r="B66" s="22" t="n">
        <v>230</v>
      </c>
      <c r="C66" s="8" t="s">
        <v>97</v>
      </c>
      <c r="F66" s="3" t="s">
        <v>98</v>
      </c>
    </row>
    <row r="67" customFormat="false" ht="15" hidden="false" customHeight="false" outlineLevel="0" collapsed="false">
      <c r="A67" s="8" t="s">
        <v>101</v>
      </c>
      <c r="B67" s="22" t="n">
        <v>225</v>
      </c>
      <c r="C67" s="8" t="s">
        <v>97</v>
      </c>
      <c r="F67" s="3" t="s">
        <v>98</v>
      </c>
    </row>
    <row r="68" customFormat="false" ht="15" hidden="false" customHeight="false" outlineLevel="0" collapsed="false">
      <c r="A68" s="8" t="s">
        <v>102</v>
      </c>
      <c r="B68" s="22" t="n">
        <v>225</v>
      </c>
      <c r="C68" s="8" t="s">
        <v>97</v>
      </c>
      <c r="F68" s="3" t="s">
        <v>98</v>
      </c>
    </row>
    <row r="69" customFormat="false" ht="15" hidden="false" customHeight="false" outlineLevel="0" collapsed="false">
      <c r="A69" s="8" t="s">
        <v>103</v>
      </c>
      <c r="B69" s="22" t="n">
        <v>225</v>
      </c>
      <c r="C69" s="8" t="s">
        <v>97</v>
      </c>
      <c r="F69" s="3" t="s">
        <v>98</v>
      </c>
    </row>
    <row r="70" customFormat="false" ht="15" hidden="false" customHeight="false" outlineLevel="0" collapsed="false">
      <c r="A70" s="8" t="s">
        <v>104</v>
      </c>
      <c r="B70" s="22" t="n">
        <v>190</v>
      </c>
      <c r="C70" s="8" t="s">
        <v>97</v>
      </c>
      <c r="F70" s="3" t="s">
        <v>98</v>
      </c>
    </row>
    <row r="71" customFormat="false" ht="15" hidden="false" customHeight="false" outlineLevel="0" collapsed="false">
      <c r="A71" s="8" t="s">
        <v>105</v>
      </c>
      <c r="B71" s="22" t="n">
        <v>800</v>
      </c>
      <c r="C71" s="8" t="s">
        <v>97</v>
      </c>
      <c r="F71" s="3" t="s">
        <v>98</v>
      </c>
    </row>
    <row r="72" customFormat="false" ht="15" hidden="false" customHeight="false" outlineLevel="0" collapsed="false">
      <c r="A72" s="8" t="s">
        <v>106</v>
      </c>
      <c r="B72" s="22" t="n">
        <v>230</v>
      </c>
      <c r="C72" s="8" t="s">
        <v>107</v>
      </c>
      <c r="F72" s="3" t="s">
        <v>98</v>
      </c>
    </row>
    <row r="73" customFormat="false" ht="15" hidden="false" customHeight="false" outlineLevel="0" collapsed="false">
      <c r="A73" s="8" t="s">
        <v>108</v>
      </c>
      <c r="B73" s="22" t="n">
        <v>225</v>
      </c>
      <c r="C73" s="8" t="s">
        <v>107</v>
      </c>
      <c r="F73" s="3" t="s">
        <v>98</v>
      </c>
    </row>
    <row r="74" customFormat="false" ht="15" hidden="false" customHeight="false" outlineLevel="0" collapsed="false">
      <c r="A74" s="8" t="s">
        <v>109</v>
      </c>
      <c r="B74" s="22" t="n">
        <v>200</v>
      </c>
      <c r="C74" s="8" t="s">
        <v>107</v>
      </c>
      <c r="F74" s="3" t="s">
        <v>98</v>
      </c>
    </row>
    <row r="75" customFormat="false" ht="15" hidden="false" customHeight="false" outlineLevel="0" collapsed="false">
      <c r="A75" s="8" t="s">
        <v>110</v>
      </c>
      <c r="B75" s="22" t="n">
        <v>173</v>
      </c>
      <c r="C75" s="8" t="s">
        <v>107</v>
      </c>
      <c r="F75" s="3" t="s">
        <v>98</v>
      </c>
    </row>
    <row r="76" customFormat="false" ht="15" hidden="false" customHeight="false" outlineLevel="0" collapsed="false">
      <c r="A76" s="8" t="s">
        <v>111</v>
      </c>
      <c r="B76" s="22" t="n">
        <v>160</v>
      </c>
      <c r="C76" s="8" t="s">
        <v>107</v>
      </c>
      <c r="F76" s="3" t="s">
        <v>98</v>
      </c>
    </row>
    <row r="77" customFormat="false" ht="15" hidden="false" customHeight="false" outlineLevel="0" collapsed="false">
      <c r="A77" s="8" t="s">
        <v>112</v>
      </c>
      <c r="B77" s="22" t="n">
        <v>131</v>
      </c>
      <c r="C77" s="8" t="s">
        <v>107</v>
      </c>
      <c r="F77" s="3" t="s">
        <v>98</v>
      </c>
    </row>
    <row r="78" customFormat="false" ht="15" hidden="false" customHeight="false" outlineLevel="0" collapsed="false">
      <c r="A78" s="8" t="s">
        <v>113</v>
      </c>
      <c r="B78" s="22" t="n">
        <v>62</v>
      </c>
      <c r="C78" s="8" t="s">
        <v>107</v>
      </c>
      <c r="F78" s="3" t="s">
        <v>98</v>
      </c>
    </row>
    <row r="79" customFormat="false" ht="15" hidden="false" customHeight="false" outlineLevel="0" collapsed="false">
      <c r="A79" s="8" t="s">
        <v>114</v>
      </c>
      <c r="B79" s="23" t="n">
        <f aca="false">MEDIAN(B64:B71)</f>
        <v>227.5</v>
      </c>
    </row>
    <row r="80" customFormat="false" ht="15" hidden="false" customHeight="false" outlineLevel="0" collapsed="false">
      <c r="A80" s="8" t="s">
        <v>115</v>
      </c>
      <c r="B80" s="23" t="n">
        <f aca="false">MEDIAN(B72:B78)</f>
        <v>173</v>
      </c>
    </row>
    <row r="81" customFormat="false" ht="15" hidden="false" customHeight="false" outlineLevel="0" collapsed="false">
      <c r="A81" s="8" t="s">
        <v>116</v>
      </c>
      <c r="B81" s="24" t="n">
        <v>0.0486</v>
      </c>
      <c r="F81" s="3" t="s">
        <v>117</v>
      </c>
    </row>
    <row r="82" customFormat="false" ht="15" hidden="false" customHeight="false" outlineLevel="0" collapsed="false">
      <c r="A82" s="8" t="s">
        <v>118</v>
      </c>
      <c r="B82" s="25" t="n">
        <v>0.19</v>
      </c>
      <c r="F82" s="3" t="s">
        <v>119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10"/>
    <col collapsed="false" customWidth="true" hidden="false" outlineLevel="0" max="5" min="5" style="0" width="12"/>
  </cols>
  <sheetData>
    <row r="1" customFormat="false" ht="24" hidden="false" customHeight="true" outlineLevel="0" collapsed="false">
      <c r="A1" s="1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121</v>
      </c>
    </row>
    <row r="4" customFormat="false" ht="15" hidden="false" customHeight="false" outlineLevel="0" collapsed="false">
      <c r="A4" s="6" t="s">
        <v>122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5" hidden="false" customHeight="false" outlineLevel="0" collapsed="false">
      <c r="A5" s="8" t="s">
        <v>123</v>
      </c>
      <c r="B5" s="24" t="n">
        <v>0.053</v>
      </c>
      <c r="C5" s="3"/>
      <c r="D5" s="3" t="s">
        <v>124</v>
      </c>
    </row>
    <row r="6" customFormat="false" ht="15" hidden="false" customHeight="false" outlineLevel="0" collapsed="false">
      <c r="A6" s="8" t="s">
        <v>125</v>
      </c>
      <c r="B6" s="24" t="n">
        <v>0.042</v>
      </c>
      <c r="C6" s="3"/>
      <c r="D6" s="3" t="s">
        <v>126</v>
      </c>
    </row>
    <row r="7" customFormat="false" ht="15" hidden="false" customHeight="false" outlineLevel="0" collapsed="false">
      <c r="A7" s="8" t="s">
        <v>127</v>
      </c>
      <c r="B7" s="24" t="n">
        <v>0.001271</v>
      </c>
      <c r="C7" s="3"/>
      <c r="D7" s="3" t="s">
        <v>128</v>
      </c>
    </row>
    <row r="8" customFormat="false" ht="15" hidden="false" customHeight="false" outlineLevel="0" collapsed="false">
      <c r="A8" s="8" t="s">
        <v>129</v>
      </c>
      <c r="B8" s="24" t="n">
        <v>0.0603</v>
      </c>
      <c r="C8" s="3"/>
      <c r="D8" s="3" t="s">
        <v>130</v>
      </c>
    </row>
    <row r="9" customFormat="false" ht="15" hidden="false" customHeight="false" outlineLevel="0" collapsed="false">
      <c r="A9" s="8" t="s">
        <v>131</v>
      </c>
      <c r="B9" s="25" t="n">
        <v>0.21</v>
      </c>
      <c r="C9" s="3"/>
      <c r="D9" s="3" t="s">
        <v>132</v>
      </c>
    </row>
    <row r="10" customFormat="false" ht="15" hidden="false" customHeight="false" outlineLevel="0" collapsed="false">
      <c r="A10" s="8" t="s">
        <v>133</v>
      </c>
      <c r="B10" s="25" t="n">
        <v>0.05</v>
      </c>
      <c r="C10" s="3"/>
      <c r="D10" s="3" t="s">
        <v>134</v>
      </c>
    </row>
    <row r="11" customFormat="false" ht="15" hidden="false" customHeight="false" outlineLevel="0" collapsed="false">
      <c r="A11" s="8" t="s">
        <v>135</v>
      </c>
      <c r="B11" s="25" t="n">
        <v>0.15</v>
      </c>
      <c r="C11" s="3"/>
      <c r="D11" s="3" t="s">
        <v>134</v>
      </c>
    </row>
    <row r="12" customFormat="false" ht="15" hidden="false" customHeight="false" outlineLevel="0" collapsed="false">
      <c r="A12" s="8" t="s">
        <v>136</v>
      </c>
      <c r="B12" s="24" t="n">
        <v>0.0415</v>
      </c>
      <c r="C12" s="3"/>
      <c r="D12" s="3" t="s">
        <v>137</v>
      </c>
    </row>
    <row r="13" customFormat="false" ht="15" hidden="false" customHeight="false" outlineLevel="0" collapsed="false">
      <c r="A13" s="6" t="s">
        <v>138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customFormat="false" ht="15" hidden="false" customHeight="false" outlineLevel="0" collapsed="false">
      <c r="A14" s="8" t="s">
        <v>139</v>
      </c>
      <c r="B14" s="26" t="n">
        <v>1.25</v>
      </c>
      <c r="C14" s="3"/>
      <c r="D14" s="3" t="s">
        <v>140</v>
      </c>
    </row>
    <row r="15" customFormat="false" ht="15" hidden="false" customHeight="false" outlineLevel="0" collapsed="false">
      <c r="A15" s="8" t="s">
        <v>141</v>
      </c>
      <c r="B15" s="26" t="n">
        <v>0.822</v>
      </c>
      <c r="C15" s="3"/>
      <c r="D15" s="3" t="s">
        <v>142</v>
      </c>
    </row>
    <row r="16" customFormat="false" ht="15" hidden="false" customHeight="false" outlineLevel="0" collapsed="false">
      <c r="A16" s="8" t="s">
        <v>143</v>
      </c>
      <c r="B16" s="26" t="n">
        <v>1</v>
      </c>
      <c r="C16" s="3"/>
      <c r="D16" s="3" t="s">
        <v>140</v>
      </c>
    </row>
    <row r="17" customFormat="false" ht="15" hidden="false" customHeight="false" outlineLevel="0" collapsed="false">
      <c r="A17" s="8" t="s">
        <v>144</v>
      </c>
      <c r="B17" s="27" t="n">
        <v>0.469</v>
      </c>
      <c r="C17" s="3"/>
      <c r="D17" s="3" t="s">
        <v>142</v>
      </c>
    </row>
    <row r="18" customFormat="false" ht="15" hidden="false" customHeight="false" outlineLevel="0" collapsed="false">
      <c r="A18" s="8" t="s">
        <v>145</v>
      </c>
      <c r="B18" s="26" t="n">
        <v>1.6</v>
      </c>
      <c r="C18" s="3"/>
      <c r="D18" s="3" t="s">
        <v>140</v>
      </c>
    </row>
    <row r="19" customFormat="false" ht="15" hidden="false" customHeight="false" outlineLevel="0" collapsed="false">
      <c r="A19" s="8" t="s">
        <v>146</v>
      </c>
      <c r="B19" s="26" t="n">
        <v>1.227</v>
      </c>
      <c r="C19" s="3"/>
      <c r="D19" s="3" t="s">
        <v>142</v>
      </c>
    </row>
    <row r="20" customFormat="false" ht="15" hidden="false" customHeight="false" outlineLevel="0" collapsed="false">
      <c r="A20" s="6" t="s">
        <v>147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customFormat="false" ht="15" hidden="false" customHeight="false" outlineLevel="0" collapsed="false">
      <c r="A21" s="8" t="s">
        <v>148</v>
      </c>
      <c r="B21" s="11" t="n">
        <v>-1.204</v>
      </c>
      <c r="C21" s="3" t="s">
        <v>149</v>
      </c>
      <c r="D21" s="3" t="s">
        <v>150</v>
      </c>
    </row>
    <row r="22" customFormat="false" ht="15" hidden="false" customHeight="false" outlineLevel="0" collapsed="false">
      <c r="A22" s="8" t="s">
        <v>151</v>
      </c>
      <c r="B22" s="11" t="n">
        <v>2.376401179941</v>
      </c>
      <c r="C22" s="3" t="s">
        <v>149</v>
      </c>
      <c r="D22" s="3" t="s">
        <v>152</v>
      </c>
    </row>
    <row r="23" customFormat="false" ht="15" hidden="false" customHeight="false" outlineLevel="0" collapsed="false">
      <c r="A23" s="8" t="s">
        <v>153</v>
      </c>
      <c r="B23" s="11" t="n">
        <v>3.64368</v>
      </c>
      <c r="C23" s="3" t="s">
        <v>149</v>
      </c>
      <c r="D23" s="3" t="s">
        <v>150</v>
      </c>
    </row>
    <row r="24" customFormat="false" ht="15" hidden="false" customHeight="false" outlineLevel="0" collapsed="false">
      <c r="A24" s="8" t="s">
        <v>154</v>
      </c>
      <c r="B24" s="11" t="n">
        <v>2.88135974153673</v>
      </c>
      <c r="C24" s="3" t="s">
        <v>149</v>
      </c>
      <c r="D24" s="3" t="s">
        <v>152</v>
      </c>
    </row>
    <row r="25" customFormat="false" ht="15" hidden="false" customHeight="false" outlineLevel="0" collapsed="false">
      <c r="A25" s="8" t="s">
        <v>155</v>
      </c>
      <c r="B25" s="11" t="n">
        <v>-3.28240460526316</v>
      </c>
      <c r="C25" s="3" t="s">
        <v>149</v>
      </c>
      <c r="D25" s="3" t="s">
        <v>150</v>
      </c>
    </row>
    <row r="26" customFormat="false" ht="15" hidden="false" customHeight="false" outlineLevel="0" collapsed="false">
      <c r="A26" s="8" t="s">
        <v>156</v>
      </c>
      <c r="B26" s="11" t="n">
        <v>25.1422390785223</v>
      </c>
      <c r="C26" s="3" t="s">
        <v>149</v>
      </c>
      <c r="D26" s="3" t="s">
        <v>152</v>
      </c>
    </row>
    <row r="27" customFormat="false" ht="15" hidden="false" customHeight="false" outlineLevel="0" collapsed="false">
      <c r="A27" s="8" t="s">
        <v>157</v>
      </c>
      <c r="B27" s="11" t="n">
        <v>4</v>
      </c>
      <c r="C27" s="3" t="s">
        <v>149</v>
      </c>
      <c r="D27" s="3" t="s">
        <v>158</v>
      </c>
    </row>
    <row r="28" customFormat="false" ht="15" hidden="false" customHeight="false" outlineLevel="0" collapsed="false">
      <c r="A28" s="8" t="s">
        <v>159</v>
      </c>
      <c r="B28" s="11" t="n">
        <v>3.5</v>
      </c>
      <c r="C28" s="3" t="s">
        <v>149</v>
      </c>
      <c r="D28" s="3" t="s">
        <v>158</v>
      </c>
    </row>
    <row r="29" customFormat="false" ht="15" hidden="false" customHeight="false" outlineLevel="0" collapsed="false">
      <c r="A29" s="8" t="s">
        <v>160</v>
      </c>
      <c r="B29" s="11" t="n">
        <v>2.5</v>
      </c>
      <c r="C29" s="3" t="s">
        <v>149</v>
      </c>
      <c r="D29" s="3" t="s">
        <v>158</v>
      </c>
    </row>
    <row r="30" customFormat="false" ht="15" hidden="false" customHeight="false" outlineLevel="0" collapsed="false">
      <c r="A30" s="8" t="s">
        <v>161</v>
      </c>
      <c r="B30" s="11" t="n">
        <v>1.5</v>
      </c>
      <c r="C30" s="3" t="s">
        <v>149</v>
      </c>
      <c r="D30" s="3" t="s">
        <v>158</v>
      </c>
    </row>
    <row r="31" customFormat="false" ht="15" hidden="false" customHeight="false" outlineLevel="0" collapsed="false">
      <c r="A31" s="8" t="s">
        <v>162</v>
      </c>
      <c r="B31" s="25" t="n">
        <v>0.3</v>
      </c>
      <c r="C31" s="3"/>
      <c r="D31" s="3" t="s">
        <v>163</v>
      </c>
    </row>
    <row r="32" customFormat="false" ht="15" hidden="false" customHeight="false" outlineLevel="0" collapsed="false">
      <c r="A32" s="6" t="s">
        <v>164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customFormat="false" ht="15" hidden="false" customHeight="false" outlineLevel="0" collapsed="false">
      <c r="A33" s="8" t="s">
        <v>165</v>
      </c>
      <c r="B33" s="11" t="n">
        <v>52.03</v>
      </c>
      <c r="C33" s="3" t="s">
        <v>149</v>
      </c>
      <c r="D33" s="3" t="s">
        <v>166</v>
      </c>
    </row>
    <row r="34" customFormat="false" ht="15" hidden="false" customHeight="false" outlineLevel="0" collapsed="false">
      <c r="A34" s="8" t="s">
        <v>167</v>
      </c>
      <c r="B34" s="11" t="n">
        <v>0.27</v>
      </c>
      <c r="C34" s="3" t="s">
        <v>168</v>
      </c>
      <c r="D34" s="3" t="s">
        <v>169</v>
      </c>
    </row>
    <row r="35" customFormat="false" ht="15" hidden="false" customHeight="false" outlineLevel="0" collapsed="false">
      <c r="A35" s="8" t="s">
        <v>170</v>
      </c>
      <c r="B35" s="28" t="n">
        <v>12421.877666</v>
      </c>
      <c r="C35" s="3" t="s">
        <v>171</v>
      </c>
      <c r="D35" s="3" t="s">
        <v>172</v>
      </c>
    </row>
    <row r="36" customFormat="false" ht="15" hidden="false" customHeight="false" outlineLevel="0" collapsed="false">
      <c r="A36" s="8" t="s">
        <v>173</v>
      </c>
      <c r="B36" s="26" t="n">
        <v>-3.81085946261403</v>
      </c>
      <c r="C36" s="3" t="s">
        <v>149</v>
      </c>
      <c r="D36" s="3" t="s">
        <v>174</v>
      </c>
    </row>
    <row r="37" customFormat="false" ht="15" hidden="false" customHeight="false" outlineLevel="0" collapsed="false">
      <c r="A37" s="8" t="s">
        <v>175</v>
      </c>
      <c r="B37" s="26" t="n">
        <v>0.782238426417993</v>
      </c>
      <c r="C37" s="3" t="s">
        <v>176</v>
      </c>
      <c r="D37" s="3" t="s">
        <v>177</v>
      </c>
    </row>
    <row r="38" customFormat="false" ht="15" hidden="false" customHeight="false" outlineLevel="0" collapsed="false">
      <c r="A38" s="8" t="s">
        <v>178</v>
      </c>
      <c r="B38" s="25" t="n">
        <v>0.035</v>
      </c>
      <c r="C38" s="3"/>
      <c r="D38" s="3" t="s">
        <v>179</v>
      </c>
    </row>
    <row r="39" customFormat="false" ht="15" hidden="false" customHeight="false" outlineLevel="0" collapsed="false">
      <c r="A39" s="8" t="s">
        <v>180</v>
      </c>
      <c r="B39" s="25" t="n">
        <v>0.05</v>
      </c>
      <c r="C39" s="3"/>
      <c r="D39" s="3" t="s">
        <v>181</v>
      </c>
    </row>
    <row r="40" customFormat="false" ht="15" hidden="false" customHeight="false" outlineLevel="0" collapsed="false">
      <c r="A40" s="8" t="s">
        <v>182</v>
      </c>
      <c r="B40" s="29" t="n">
        <v>167.6</v>
      </c>
      <c r="C40" s="3" t="s">
        <v>183</v>
      </c>
      <c r="D40" s="3" t="s">
        <v>184</v>
      </c>
    </row>
    <row r="41" customFormat="false" ht="15" hidden="false" customHeight="false" outlineLevel="0" collapsed="false">
      <c r="A41" s="8" t="s">
        <v>185</v>
      </c>
      <c r="B41" s="29" t="n">
        <v>135</v>
      </c>
      <c r="C41" s="3" t="s">
        <v>183</v>
      </c>
      <c r="D41" s="3" t="s">
        <v>186</v>
      </c>
    </row>
    <row r="42" customFormat="false" ht="15" hidden="false" customHeight="false" outlineLevel="0" collapsed="false">
      <c r="A42" s="8" t="s">
        <v>187</v>
      </c>
      <c r="B42" s="12" t="n">
        <v>2157.75640878065</v>
      </c>
      <c r="C42" s="3" t="s">
        <v>149</v>
      </c>
      <c r="D42" s="3" t="s">
        <v>188</v>
      </c>
    </row>
    <row r="43" customFormat="false" ht="15" hidden="false" customHeight="false" outlineLevel="0" collapsed="false">
      <c r="A43" s="6" t="s">
        <v>189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customFormat="false" ht="15" hidden="false" customHeight="false" outlineLevel="0" collapsed="false">
      <c r="A44" s="8" t="s">
        <v>190</v>
      </c>
      <c r="B44" s="30" t="n">
        <v>0.8</v>
      </c>
      <c r="C44" s="3"/>
      <c r="D44" s="3" t="s">
        <v>191</v>
      </c>
    </row>
    <row r="45" customFormat="false" ht="15" hidden="false" customHeight="false" outlineLevel="0" collapsed="false">
      <c r="A45" s="8" t="s">
        <v>192</v>
      </c>
      <c r="B45" s="30" t="n">
        <v>0</v>
      </c>
      <c r="C45" s="3"/>
      <c r="D45" s="3" t="s">
        <v>193</v>
      </c>
    </row>
    <row r="46" customFormat="false" ht="15" hidden="false" customHeight="false" outlineLevel="0" collapsed="false">
      <c r="A46" s="8" t="s">
        <v>194</v>
      </c>
      <c r="B46" s="30" t="n">
        <v>0.05</v>
      </c>
      <c r="C46" s="3"/>
      <c r="D46" s="3" t="s">
        <v>195</v>
      </c>
    </row>
    <row r="47" customFormat="false" ht="15" hidden="false" customHeight="false" outlineLevel="0" collapsed="false">
      <c r="A47" s="8" t="s">
        <v>196</v>
      </c>
      <c r="B47" s="30" t="n">
        <v>0.03</v>
      </c>
      <c r="C47" s="3"/>
      <c r="D47" s="3" t="s">
        <v>197</v>
      </c>
    </row>
    <row r="48" customFormat="false" ht="15" hidden="false" customHeight="false" outlineLevel="0" collapsed="false">
      <c r="A48" s="8" t="s">
        <v>198</v>
      </c>
      <c r="B48" s="12" t="n">
        <v>100</v>
      </c>
      <c r="C48" s="3" t="s">
        <v>149</v>
      </c>
      <c r="D48" s="3" t="s">
        <v>199</v>
      </c>
    </row>
    <row r="49" customFormat="false" ht="15" hidden="false" customHeight="false" outlineLevel="0" collapsed="false">
      <c r="A49" s="8" t="s">
        <v>200</v>
      </c>
      <c r="B49" s="30" t="n">
        <v>0.5</v>
      </c>
      <c r="C49" s="3"/>
      <c r="D49" s="3" t="s">
        <v>201</v>
      </c>
    </row>
    <row r="50" customFormat="false" ht="15" hidden="false" customHeight="false" outlineLevel="0" collapsed="false">
      <c r="A50" s="8" t="s">
        <v>202</v>
      </c>
      <c r="B50" s="30" t="n">
        <v>0.5</v>
      </c>
      <c r="C50" s="3"/>
      <c r="D50" s="3" t="s">
        <v>203</v>
      </c>
    </row>
    <row r="51" customFormat="false" ht="15" hidden="false" customHeight="false" outlineLevel="0" collapsed="false">
      <c r="A51" s="8" t="s">
        <v>204</v>
      </c>
      <c r="B51" s="12" t="n">
        <v>1000</v>
      </c>
      <c r="C51" s="3" t="s">
        <v>149</v>
      </c>
      <c r="D51" s="3" t="s">
        <v>205</v>
      </c>
    </row>
    <row r="52" customFormat="false" ht="15" hidden="false" customHeight="false" outlineLevel="0" collapsed="false">
      <c r="A52" s="8" t="s">
        <v>206</v>
      </c>
      <c r="B52" s="12" t="n">
        <v>250</v>
      </c>
      <c r="C52" s="3" t="s">
        <v>149</v>
      </c>
      <c r="D52" s="3" t="s">
        <v>207</v>
      </c>
    </row>
    <row r="53" customFormat="false" ht="15" hidden="false" customHeight="false" outlineLevel="0" collapsed="false">
      <c r="A53" s="8" t="s">
        <v>208</v>
      </c>
      <c r="B53" s="12" t="n">
        <v>2150</v>
      </c>
      <c r="C53" s="3" t="s">
        <v>149</v>
      </c>
      <c r="D53" s="3" t="s">
        <v>209</v>
      </c>
    </row>
    <row r="55" customFormat="false" ht="15" hidden="false" customHeight="false" outlineLevel="0" collapsed="false">
      <c r="A55" s="6" t="s">
        <v>210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customFormat="false" ht="42" hidden="false" customHeight="true" outlineLevel="0" collapsed="false">
      <c r="A56" s="31" t="s">
        <v>211</v>
      </c>
      <c r="B56" s="31" t="s">
        <v>34</v>
      </c>
      <c r="C56" s="31" t="s">
        <v>212</v>
      </c>
      <c r="D56" s="31" t="s">
        <v>213</v>
      </c>
      <c r="E56" s="31" t="s">
        <v>214</v>
      </c>
      <c r="F56" s="31" t="s">
        <v>215</v>
      </c>
      <c r="G56" s="31" t="s">
        <v>216</v>
      </c>
      <c r="H56" s="31" t="s">
        <v>217</v>
      </c>
      <c r="I56" s="31" t="s">
        <v>218</v>
      </c>
      <c r="J56" s="31" t="s">
        <v>219</v>
      </c>
      <c r="K56" s="31" t="s">
        <v>220</v>
      </c>
      <c r="L56" s="31" t="s">
        <v>221</v>
      </c>
      <c r="M56" s="31" t="s">
        <v>222</v>
      </c>
    </row>
    <row r="57" customFormat="false" ht="15" hidden="false" customHeight="false" outlineLevel="0" collapsed="false">
      <c r="A57" s="8" t="s">
        <v>223</v>
      </c>
      <c r="B57" s="8" t="s">
        <v>40</v>
      </c>
      <c r="C57" s="8" t="s">
        <v>224</v>
      </c>
      <c r="D57" s="22" t="n">
        <v>2026</v>
      </c>
      <c r="E57" s="11" t="n">
        <v>3.6</v>
      </c>
      <c r="F57" s="11" t="n">
        <v>12</v>
      </c>
      <c r="H57" s="25" t="n">
        <v>0.1</v>
      </c>
      <c r="I57" s="25" t="n">
        <v>0.2</v>
      </c>
      <c r="J57" s="11" t="n">
        <v>1.4</v>
      </c>
      <c r="K57" s="25" t="n">
        <v>0.15</v>
      </c>
    </row>
    <row r="58" customFormat="false" ht="15" hidden="false" customHeight="false" outlineLevel="0" collapsed="false">
      <c r="A58" s="8" t="s">
        <v>225</v>
      </c>
      <c r="B58" s="8" t="s">
        <v>40</v>
      </c>
      <c r="C58" s="8" t="s">
        <v>226</v>
      </c>
      <c r="D58" s="22" t="n">
        <v>2027</v>
      </c>
      <c r="E58" s="11" t="n">
        <v>0</v>
      </c>
      <c r="F58" s="11" t="n">
        <v>6</v>
      </c>
      <c r="H58" s="25" t="n">
        <v>0</v>
      </c>
      <c r="I58" s="25" t="n">
        <v>0.2</v>
      </c>
      <c r="J58" s="11" t="n">
        <v>1</v>
      </c>
      <c r="K58" s="25" t="n">
        <v>0.15</v>
      </c>
    </row>
    <row r="59" customFormat="false" ht="15" hidden="false" customHeight="false" outlineLevel="0" collapsed="false">
      <c r="A59" s="8" t="s">
        <v>227</v>
      </c>
      <c r="B59" s="8" t="s">
        <v>40</v>
      </c>
      <c r="C59" s="8" t="s">
        <v>228</v>
      </c>
      <c r="D59" s="22" t="n">
        <v>2028</v>
      </c>
      <c r="E59" s="11" t="n">
        <v>0</v>
      </c>
      <c r="F59" s="11" t="n">
        <v>8</v>
      </c>
      <c r="H59" s="25" t="n">
        <v>0.1</v>
      </c>
      <c r="I59" s="25" t="n">
        <v>0.25</v>
      </c>
      <c r="J59" s="11" t="n">
        <v>1</v>
      </c>
      <c r="K59" s="25" t="n">
        <v>0.15</v>
      </c>
    </row>
    <row r="60" customFormat="false" ht="15" hidden="false" customHeight="false" outlineLevel="0" collapsed="false">
      <c r="A60" s="8" t="s">
        <v>229</v>
      </c>
      <c r="B60" s="8" t="s">
        <v>40</v>
      </c>
      <c r="C60" s="8" t="s">
        <v>230</v>
      </c>
      <c r="D60" s="22" t="n">
        <v>2029</v>
      </c>
      <c r="E60" s="11" t="n">
        <v>0</v>
      </c>
      <c r="F60" s="11" t="n">
        <v>4</v>
      </c>
      <c r="H60" s="25" t="n">
        <v>0.1</v>
      </c>
      <c r="I60" s="25" t="n">
        <v>0.15</v>
      </c>
      <c r="J60" s="11" t="n">
        <v>2</v>
      </c>
      <c r="K60" s="25" t="n">
        <v>0.12</v>
      </c>
    </row>
    <row r="61" customFormat="false" ht="15" hidden="false" customHeight="false" outlineLevel="0" collapsed="false">
      <c r="A61" s="8" t="s">
        <v>231</v>
      </c>
      <c r="B61" s="8" t="s">
        <v>40</v>
      </c>
      <c r="C61" s="8" t="s">
        <v>232</v>
      </c>
      <c r="D61" s="22" t="n">
        <v>2030</v>
      </c>
      <c r="L61" s="25" t="n">
        <v>0.1</v>
      </c>
      <c r="M61" s="3" t="s">
        <v>233</v>
      </c>
    </row>
    <row r="62" customFormat="false" ht="15" hidden="false" customHeight="false" outlineLevel="0" collapsed="false">
      <c r="A62" s="8" t="s">
        <v>234</v>
      </c>
      <c r="B62" s="8" t="s">
        <v>42</v>
      </c>
      <c r="C62" s="8" t="s">
        <v>224</v>
      </c>
      <c r="D62" s="22" t="n">
        <v>2026</v>
      </c>
      <c r="E62" s="11" t="n">
        <v>17</v>
      </c>
      <c r="F62" s="11" t="n">
        <v>80</v>
      </c>
      <c r="H62" s="25" t="n">
        <v>0.38</v>
      </c>
      <c r="I62" s="25" t="n">
        <v>0.45</v>
      </c>
      <c r="J62" s="11" t="n">
        <v>2.8</v>
      </c>
      <c r="K62" s="25" t="n">
        <v>0.18</v>
      </c>
    </row>
    <row r="63" customFormat="false" ht="15" hidden="false" customHeight="false" outlineLevel="0" collapsed="false">
      <c r="A63" s="8" t="s">
        <v>235</v>
      </c>
      <c r="B63" s="8" t="s">
        <v>42</v>
      </c>
      <c r="C63" s="8" t="s">
        <v>236</v>
      </c>
      <c r="D63" s="22" t="n">
        <v>2028</v>
      </c>
      <c r="E63" s="11" t="n">
        <v>0</v>
      </c>
      <c r="F63" s="11" t="n">
        <v>30</v>
      </c>
      <c r="H63" s="25" t="n">
        <v>0.3</v>
      </c>
      <c r="I63" s="25" t="n">
        <v>0.45</v>
      </c>
      <c r="J63" s="11" t="n">
        <v>2</v>
      </c>
      <c r="K63" s="25" t="n">
        <v>0.18</v>
      </c>
    </row>
    <row r="64" customFormat="false" ht="15" hidden="false" customHeight="false" outlineLevel="0" collapsed="false">
      <c r="A64" s="8" t="s">
        <v>237</v>
      </c>
      <c r="B64" s="8" t="s">
        <v>42</v>
      </c>
      <c r="C64" s="8" t="s">
        <v>238</v>
      </c>
      <c r="D64" s="22" t="n">
        <v>2029</v>
      </c>
      <c r="E64" s="11" t="n">
        <v>0</v>
      </c>
      <c r="F64" s="11" t="n">
        <v>15</v>
      </c>
      <c r="H64" s="25" t="n">
        <v>0.4</v>
      </c>
      <c r="I64" s="25" t="n">
        <v>0.45</v>
      </c>
      <c r="J64" s="11" t="n">
        <v>2.8</v>
      </c>
      <c r="K64" s="25" t="n">
        <v>0.18</v>
      </c>
    </row>
    <row r="65" customFormat="false" ht="15" hidden="false" customHeight="false" outlineLevel="0" collapsed="false">
      <c r="A65" s="8" t="s">
        <v>239</v>
      </c>
      <c r="B65" s="8" t="s">
        <v>42</v>
      </c>
      <c r="C65" s="8" t="s">
        <v>240</v>
      </c>
      <c r="D65" s="22" t="n">
        <v>2027</v>
      </c>
      <c r="E65" s="11" t="n">
        <v>0</v>
      </c>
      <c r="F65" s="11" t="n">
        <v>25</v>
      </c>
      <c r="H65" s="25" t="n">
        <v>0.1</v>
      </c>
      <c r="I65" s="25" t="n">
        <v>0.35</v>
      </c>
      <c r="J65" s="11" t="n">
        <v>1.5</v>
      </c>
      <c r="K65" s="25" t="n">
        <v>0.15</v>
      </c>
    </row>
    <row r="66" customFormat="false" ht="15" hidden="false" customHeight="false" outlineLevel="0" collapsed="false">
      <c r="A66" s="8" t="s">
        <v>241</v>
      </c>
      <c r="B66" s="8" t="s">
        <v>42</v>
      </c>
      <c r="C66" s="8" t="s">
        <v>242</v>
      </c>
      <c r="D66" s="22" t="n">
        <v>2028</v>
      </c>
      <c r="E66" s="11" t="n">
        <v>0</v>
      </c>
      <c r="F66" s="11" t="n">
        <v>10</v>
      </c>
      <c r="H66" s="25" t="n">
        <v>0.25</v>
      </c>
      <c r="I66" s="25" t="n">
        <v>0.4</v>
      </c>
      <c r="J66" s="11" t="n">
        <v>2.8</v>
      </c>
      <c r="K66" s="25" t="n">
        <v>0.18</v>
      </c>
    </row>
    <row r="67" customFormat="false" ht="15" hidden="false" customHeight="false" outlineLevel="0" collapsed="false">
      <c r="A67" s="8" t="s">
        <v>243</v>
      </c>
      <c r="B67" s="8" t="s">
        <v>43</v>
      </c>
      <c r="C67" s="8" t="s">
        <v>224</v>
      </c>
      <c r="D67" s="22" t="n">
        <v>2026</v>
      </c>
      <c r="E67" s="11" t="n">
        <v>17</v>
      </c>
      <c r="F67" s="11" t="n">
        <v>60</v>
      </c>
      <c r="G67" s="11" t="n">
        <v>30</v>
      </c>
      <c r="H67" s="25" t="n">
        <v>-0.05</v>
      </c>
      <c r="I67" s="25" t="n">
        <v>0.05</v>
      </c>
      <c r="J67" s="11" t="n">
        <v>0.5</v>
      </c>
      <c r="K67" s="25" t="n">
        <v>0.05</v>
      </c>
    </row>
    <row r="68" customFormat="false" ht="15" hidden="false" customHeight="false" outlineLevel="0" collapsed="false">
      <c r="A68" s="8" t="s">
        <v>244</v>
      </c>
      <c r="B68" s="8" t="s">
        <v>43</v>
      </c>
      <c r="C68" s="8" t="s">
        <v>245</v>
      </c>
      <c r="D68" s="22" t="n">
        <v>2027</v>
      </c>
      <c r="E68" s="11" t="n">
        <v>15</v>
      </c>
      <c r="F68" s="11" t="n">
        <v>90</v>
      </c>
      <c r="H68" s="25" t="n">
        <v>0.05</v>
      </c>
      <c r="I68" s="25" t="n">
        <v>0.17</v>
      </c>
      <c r="J68" s="11" t="n">
        <v>0.6</v>
      </c>
      <c r="K68" s="25" t="n">
        <v>0.095</v>
      </c>
    </row>
    <row r="69" customFormat="false" ht="15" hidden="false" customHeight="false" outlineLevel="0" collapsed="false">
      <c r="A69" s="8" t="s">
        <v>246</v>
      </c>
      <c r="B69" s="8" t="s">
        <v>43</v>
      </c>
      <c r="C69" s="8" t="s">
        <v>247</v>
      </c>
      <c r="D69" s="22" t="n">
        <v>2028</v>
      </c>
      <c r="E69" s="11" t="n">
        <v>10</v>
      </c>
      <c r="F69" s="11" t="n">
        <v>300</v>
      </c>
      <c r="H69" s="25" t="n">
        <v>0.1</v>
      </c>
      <c r="I69" s="25" t="n">
        <v>0.31</v>
      </c>
      <c r="J69" s="11" t="n">
        <v>1</v>
      </c>
      <c r="K69" s="25" t="n">
        <v>0.165</v>
      </c>
    </row>
    <row r="70" customFormat="false" ht="15" hidden="false" customHeight="false" outlineLevel="0" collapsed="false">
      <c r="A70" s="8" t="s">
        <v>248</v>
      </c>
      <c r="B70" s="8" t="s">
        <v>43</v>
      </c>
      <c r="C70" s="8" t="s">
        <v>249</v>
      </c>
      <c r="D70" s="22" t="n">
        <v>2029</v>
      </c>
      <c r="L70" s="25" t="n">
        <v>0.13</v>
      </c>
      <c r="M70" s="3" t="s">
        <v>245</v>
      </c>
    </row>
    <row r="71" customFormat="false" ht="15" hidden="false" customHeight="false" outlineLevel="0" collapsed="false">
      <c r="A71" s="8" t="s">
        <v>250</v>
      </c>
      <c r="B71" s="8" t="s">
        <v>43</v>
      </c>
      <c r="C71" s="8" t="s">
        <v>251</v>
      </c>
      <c r="D71" s="22" t="n">
        <v>2032</v>
      </c>
      <c r="E71" s="11" t="n">
        <v>0</v>
      </c>
      <c r="F71" s="11" t="n">
        <v>100</v>
      </c>
      <c r="H71" s="25" t="n">
        <v>0.1</v>
      </c>
      <c r="I71" s="25" t="n">
        <v>0.35</v>
      </c>
      <c r="J71" s="11" t="n">
        <v>1</v>
      </c>
      <c r="K71" s="25" t="n">
        <v>0.2</v>
      </c>
    </row>
    <row r="72" customFormat="false" ht="15" hidden="false" customHeight="false" outlineLevel="0" collapsed="false">
      <c r="A72" s="8" t="s">
        <v>252</v>
      </c>
      <c r="B72" s="8" t="s">
        <v>253</v>
      </c>
      <c r="C72" s="8" t="s">
        <v>254</v>
      </c>
      <c r="D72" s="22" t="n">
        <v>2028</v>
      </c>
      <c r="E72" s="11" t="n">
        <v>1</v>
      </c>
      <c r="F72" s="11" t="n">
        <v>12</v>
      </c>
      <c r="H72" s="25" t="n">
        <v>0.1</v>
      </c>
      <c r="I72" s="25" t="n">
        <v>0.15</v>
      </c>
      <c r="J72" s="11" t="n">
        <v>2</v>
      </c>
      <c r="K72" s="25" t="n">
        <v>0.12</v>
      </c>
    </row>
    <row r="74" customFormat="false" ht="15" hidden="false" customHeight="false" outlineLevel="0" collapsed="false">
      <c r="A74" s="3" t="s">
        <v>255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14" min="3" style="0" width="10"/>
  </cols>
  <sheetData>
    <row r="1" customFormat="false" ht="24" hidden="false" customHeight="true" outlineLevel="0" collapsed="false">
      <c r="A1" s="1" t="s">
        <v>256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257</v>
      </c>
    </row>
    <row r="4" customFormat="false" ht="15" hidden="false" customHeight="false" outlineLevel="0" collapsed="false">
      <c r="A4" s="4" t="s">
        <v>258</v>
      </c>
      <c r="B4" s="4" t="s">
        <v>40</v>
      </c>
      <c r="C4" s="4" t="s">
        <v>42</v>
      </c>
      <c r="D4" s="4" t="s">
        <v>43</v>
      </c>
      <c r="E4" s="4" t="s">
        <v>259</v>
      </c>
    </row>
    <row r="5" customFormat="false" ht="15" hidden="false" customHeight="false" outlineLevel="0" collapsed="false">
      <c r="A5" s="8" t="s">
        <v>260</v>
      </c>
      <c r="B5" s="32" t="n">
        <f aca="false">Input!$B$14</f>
        <v>1.25</v>
      </c>
      <c r="C5" s="32" t="n">
        <f aca="false">Input!$B$16</f>
        <v>1</v>
      </c>
      <c r="D5" s="32" t="n">
        <f aca="false">Input!$B$18</f>
        <v>1.6</v>
      </c>
      <c r="E5" s="32" t="n">
        <f aca="false">Input!$B$18</f>
        <v>1.6</v>
      </c>
    </row>
    <row r="6" customFormat="false" ht="15" hidden="false" customHeight="false" outlineLevel="0" collapsed="false">
      <c r="A6" s="8" t="s">
        <v>261</v>
      </c>
      <c r="B6" s="32" t="n">
        <f aca="false">Input!$B$15</f>
        <v>0.822</v>
      </c>
      <c r="C6" s="32" t="n">
        <f aca="false">Input!$B$17</f>
        <v>0.469</v>
      </c>
      <c r="D6" s="32" t="n">
        <f aca="false">Input!$B$19</f>
        <v>1.227</v>
      </c>
      <c r="E6" s="32" t="n">
        <f aca="false">Input!$B$19</f>
        <v>1.227</v>
      </c>
    </row>
    <row r="7" customFormat="false" ht="15" hidden="false" customHeight="false" outlineLevel="0" collapsed="false">
      <c r="A7" s="8" t="s">
        <v>262</v>
      </c>
      <c r="B7" s="33" t="n">
        <f aca="false">Input!$B$10</f>
        <v>0.05</v>
      </c>
      <c r="C7" s="33" t="n">
        <f aca="false">Input!$B$10</f>
        <v>0.05</v>
      </c>
      <c r="D7" s="33" t="n">
        <f aca="false">Input!$B$10</f>
        <v>0.05</v>
      </c>
      <c r="E7" s="33" t="n">
        <f aca="false">Input!$B$45</f>
        <v>0</v>
      </c>
    </row>
    <row r="8" customFormat="false" ht="15" hidden="false" customHeight="false" outlineLevel="0" collapsed="false">
      <c r="A8" s="8" t="s">
        <v>263</v>
      </c>
      <c r="B8" s="33" t="n">
        <f aca="false">Input!$B$11</f>
        <v>0.15</v>
      </c>
      <c r="C8" s="33" t="n">
        <f aca="false">Input!$B$11</f>
        <v>0.15</v>
      </c>
      <c r="D8" s="33" t="n">
        <f aca="false">Input!$B$11</f>
        <v>0.15</v>
      </c>
      <c r="E8" s="33" t="n">
        <f aca="false">Input!$B$46</f>
        <v>0.05</v>
      </c>
    </row>
    <row r="9" customFormat="false" ht="15" hidden="false" customHeight="false" outlineLevel="0" collapsed="false">
      <c r="A9" s="8" t="s">
        <v>264</v>
      </c>
      <c r="B9" s="34" t="n">
        <f aca="false">Input!$B$5+B5*(1+B7/(1-B7))*Input!$B$6+Input!$B$7</f>
        <v>0.109534157894737</v>
      </c>
      <c r="C9" s="34" t="n">
        <f aca="false">Input!$B$5+C5*(1+C7/(1-C7))*Input!$B$6+Input!$B$7</f>
        <v>0.0984815263157895</v>
      </c>
      <c r="D9" s="34" t="n">
        <f aca="false">Input!$B$5+D5*(1+D7/(1-D7))*Input!$B$6+Input!$B$7</f>
        <v>0.125007842105263</v>
      </c>
      <c r="E9" s="34" t="n">
        <f aca="false">Input!$B$5+E5*(1+E7/(1-E7))*Input!$B$6+Input!$B$7</f>
        <v>0.121471</v>
      </c>
    </row>
    <row r="10" customFormat="false" ht="15" hidden="false" customHeight="false" outlineLevel="0" collapsed="false">
      <c r="A10" s="8" t="s">
        <v>265</v>
      </c>
      <c r="B10" s="34" t="n">
        <f aca="false">B7*Input!$B$8*(1-Input!$B$9)+(1-B7)*B9</f>
        <v>0.1064393</v>
      </c>
      <c r="C10" s="34" t="n">
        <f aca="false">C7*Input!$B$8*(1-Input!$B$9)+(1-C7)*C9</f>
        <v>0.0959393</v>
      </c>
      <c r="D10" s="34" t="n">
        <f aca="false">D7*Input!$B$8*(1-Input!$B$9)+(1-D7)*D9</f>
        <v>0.1211393</v>
      </c>
      <c r="E10" s="34" t="n">
        <f aca="false">E7*Input!$B$8*(1-Input!$B$9)+(1-E7)*E9</f>
        <v>0.121471</v>
      </c>
    </row>
    <row r="11" customFormat="false" ht="15" hidden="false" customHeight="false" outlineLevel="0" collapsed="false">
      <c r="A11" s="8" t="s">
        <v>266</v>
      </c>
      <c r="B11" s="34" t="n">
        <f aca="false">Input!$B$5+B6*(1+B7/(1-B7))*Input!$B$6+Input!$B$7</f>
        <v>0.0906120526315789</v>
      </c>
      <c r="C11" s="34" t="n">
        <f aca="false">Input!$B$5+C6*(1+C7/(1-C7))*Input!$B$6+Input!$B$7</f>
        <v>0.0750057368421053</v>
      </c>
      <c r="D11" s="34" t="n">
        <f aca="false">Input!$B$5+D6*(1+D7/(1-D7))*Input!$B$6+Input!$B$7</f>
        <v>0.108517315789474</v>
      </c>
      <c r="E11" s="34" t="n">
        <f aca="false">Input!$B$5+E6*(1+E7/(1-E7))*Input!$B$6+Input!$B$7</f>
        <v>0.105805</v>
      </c>
    </row>
    <row r="12" customFormat="false" ht="15" hidden="false" customHeight="false" outlineLevel="0" collapsed="false">
      <c r="A12" s="8" t="s">
        <v>267</v>
      </c>
      <c r="B12" s="34" t="n">
        <f aca="false">B7*Input!$B$8*(1-Input!$B$9)+(1-B7)*B11</f>
        <v>0.0884633</v>
      </c>
      <c r="C12" s="34" t="n">
        <f aca="false">C7*Input!$B$8*(1-Input!$B$9)+(1-C7)*C11</f>
        <v>0.0736373</v>
      </c>
      <c r="D12" s="34" t="n">
        <f aca="false">D7*Input!$B$8*(1-Input!$B$9)+(1-D7)*D11</f>
        <v>0.1054733</v>
      </c>
      <c r="E12" s="34" t="n">
        <f aca="false">E7*Input!$B$8*(1-Input!$B$9)+(1-E7)*E11</f>
        <v>0.105805</v>
      </c>
    </row>
    <row r="13" customFormat="false" ht="15" hidden="false" customHeight="false" outlineLevel="0" collapsed="false">
      <c r="A13" s="8" t="s">
        <v>268</v>
      </c>
      <c r="B13" s="34" t="n">
        <f aca="false">Input!$B$5+B6*(1+B8/(1-B8))*Input!$B$6+Input!$B$7</f>
        <v>0.0948874705882353</v>
      </c>
      <c r="C13" s="34" t="n">
        <f aca="false">Input!$B$5+C6*(1+C8/(1-C8))*Input!$B$6+Input!$B$7</f>
        <v>0.0774451176470588</v>
      </c>
      <c r="D13" s="34" t="n">
        <f aca="false">Input!$B$5+D6*(1+D8/(1-D8))*Input!$B$6+Input!$B$7</f>
        <v>0.114899235294118</v>
      </c>
      <c r="E13" s="34" t="n">
        <f aca="false">Input!$B$5+E6*(1+E8/(1-E8))*Input!$B$6+Input!$B$7</f>
        <v>0.108517315789474</v>
      </c>
    </row>
    <row r="14" customFormat="false" ht="15" hidden="false" customHeight="false" outlineLevel="0" collapsed="false">
      <c r="A14" s="8" t="s">
        <v>269</v>
      </c>
      <c r="B14" s="34" t="n">
        <f aca="false">B8*Input!$B$8*(1-Input!$B$9)+(1-B8)*B13</f>
        <v>0.0877999</v>
      </c>
      <c r="C14" s="34" t="n">
        <f aca="false">C8*Input!$B$8*(1-Input!$B$9)+(1-C8)*C13</f>
        <v>0.0729739</v>
      </c>
      <c r="D14" s="34" t="n">
        <f aca="false">D8*Input!$B$8*(1-Input!$B$9)+(1-D8)*D13</f>
        <v>0.1048099</v>
      </c>
      <c r="E14" s="34" t="n">
        <f aca="false">E8*Input!$B$8*(1-Input!$B$9)+(1-E8)*E13</f>
        <v>0.1054733</v>
      </c>
    </row>
    <row r="15" customFormat="false" ht="15" hidden="false" customHeight="false" outlineLevel="0" collapsed="false">
      <c r="A15" s="8" t="s">
        <v>270</v>
      </c>
      <c r="B15" s="35" t="n">
        <f aca="false">MAX(Probabilita!$D$6,Probabilita!$D$7)</f>
        <v>2028</v>
      </c>
      <c r="C15" s="35" t="n">
        <f aca="false">MAX(Probabilita!$D$10,Probabilita!$D$11)</f>
        <v>2028</v>
      </c>
      <c r="D15" s="35" t="n">
        <f aca="false">MAX(Probabilita!$D$14,Probabilita!$D$16)</f>
        <v>2029</v>
      </c>
      <c r="E15" s="35" t="n">
        <f aca="false">MAX(Probabilita!$D$14,Probabilita!$D$16)</f>
        <v>2029</v>
      </c>
    </row>
    <row r="18" customFormat="false" ht="15" hidden="false" customHeight="false" outlineLevel="0" collapsed="false">
      <c r="A18" s="4" t="s">
        <v>271</v>
      </c>
      <c r="C18" s="4" t="s">
        <v>272</v>
      </c>
      <c r="D18" s="36" t="n">
        <v>2027</v>
      </c>
      <c r="E18" s="36" t="n">
        <v>2028</v>
      </c>
      <c r="F18" s="36" t="n">
        <v>2029</v>
      </c>
      <c r="G18" s="36" t="n">
        <v>2030</v>
      </c>
      <c r="H18" s="36" t="n">
        <v>2031</v>
      </c>
      <c r="I18" s="36" t="n">
        <v>2032</v>
      </c>
      <c r="J18" s="36" t="n">
        <v>2033</v>
      </c>
      <c r="K18" s="36" t="n">
        <v>2034</v>
      </c>
      <c r="L18" s="36" t="n">
        <v>2035</v>
      </c>
      <c r="M18" s="36" t="n">
        <v>2036</v>
      </c>
    </row>
    <row r="19" customFormat="false" ht="15" hidden="false" customHeight="false" outlineLevel="0" collapsed="false">
      <c r="A19" s="8" t="s">
        <v>273</v>
      </c>
      <c r="C19" s="22" t="n">
        <v>2026</v>
      </c>
      <c r="D19" s="22" t="n">
        <v>2027</v>
      </c>
      <c r="E19" s="22" t="n">
        <v>2028</v>
      </c>
      <c r="F19" s="22" t="n">
        <v>2029</v>
      </c>
      <c r="G19" s="22" t="n">
        <v>2030</v>
      </c>
      <c r="H19" s="22" t="n">
        <v>2031</v>
      </c>
      <c r="I19" s="22" t="n">
        <v>2032</v>
      </c>
      <c r="J19" s="22" t="n">
        <v>2033</v>
      </c>
      <c r="K19" s="22" t="n">
        <v>2034</v>
      </c>
      <c r="L19" s="22" t="n">
        <v>2035</v>
      </c>
      <c r="M19" s="22" t="n">
        <v>2036</v>
      </c>
    </row>
    <row r="20" customFormat="false" ht="15" hidden="false" customHeight="false" outlineLevel="0" collapsed="false">
      <c r="A20" s="8" t="s">
        <v>274</v>
      </c>
      <c r="C20" s="11" t="n">
        <v>0.5</v>
      </c>
      <c r="D20" s="37" t="n">
        <f aca="false">D19-2026+0.5</f>
        <v>1.5</v>
      </c>
      <c r="E20" s="37" t="n">
        <f aca="false">E19-2026+0.5</f>
        <v>2.5</v>
      </c>
      <c r="F20" s="37" t="n">
        <f aca="false">F19-2026+0.5</f>
        <v>3.5</v>
      </c>
      <c r="G20" s="37" t="n">
        <f aca="false">G19-2026+0.5</f>
        <v>4.5</v>
      </c>
      <c r="H20" s="37" t="n">
        <f aca="false">H19-2026+0.5</f>
        <v>5.5</v>
      </c>
      <c r="I20" s="37" t="n">
        <f aca="false">I19-2026+0.5</f>
        <v>6.5</v>
      </c>
      <c r="J20" s="37" t="n">
        <f aca="false">J19-2026+0.5</f>
        <v>7.5</v>
      </c>
      <c r="K20" s="37" t="n">
        <f aca="false">K19-2026+0.5</f>
        <v>8.5</v>
      </c>
      <c r="L20" s="37" t="n">
        <f aca="false">L19-2026+0.5</f>
        <v>9.5</v>
      </c>
      <c r="M20" s="37" t="n">
        <f aca="false">M19-2026+0.5</f>
        <v>10.5</v>
      </c>
    </row>
    <row r="22" customFormat="false" ht="15" hidden="false" customHeight="false" outlineLevel="0" collapsed="false">
      <c r="A22" s="8" t="s">
        <v>275</v>
      </c>
      <c r="C22" s="34" t="n">
        <f aca="false">IF(C$19&lt;=$B$15,$B$10,$B$12)</f>
        <v>0.1064393</v>
      </c>
      <c r="D22" s="34" t="n">
        <f aca="false">IF(D$19&lt;=$B$15,$B$10,$B$12)</f>
        <v>0.1064393</v>
      </c>
      <c r="E22" s="34" t="n">
        <f aca="false">IF(E$19&lt;=$B$15,$B$10,$B$12)</f>
        <v>0.1064393</v>
      </c>
      <c r="F22" s="34" t="n">
        <f aca="false">IF(F$19&lt;=$B$15,$B$10,$B$12)</f>
        <v>0.0884633</v>
      </c>
      <c r="G22" s="34" t="n">
        <f aca="false">IF(G$19&lt;=$B$15,$B$10,$B$12)</f>
        <v>0.0884633</v>
      </c>
      <c r="H22" s="34" t="n">
        <f aca="false">IF(H$19&lt;=$B$15,$B$10,$B$12)</f>
        <v>0.0884633</v>
      </c>
      <c r="I22" s="34" t="n">
        <f aca="false">IF(I$19&lt;=$B$15,$B$10,$B$12)</f>
        <v>0.0884633</v>
      </c>
      <c r="J22" s="34" t="n">
        <f aca="false">IF(J$19&lt;=$B$15,$B$10,$B$12)</f>
        <v>0.0884633</v>
      </c>
      <c r="K22" s="34" t="n">
        <f aca="false">IF(K$19&lt;=$B$15,$B$10,$B$12)</f>
        <v>0.0884633</v>
      </c>
      <c r="L22" s="34" t="n">
        <f aca="false">IF(L$19&lt;=$B$15,$B$10,$B$12)</f>
        <v>0.0884633</v>
      </c>
      <c r="M22" s="34" t="n">
        <f aca="false">IF(M$19&lt;=$B$15,$B$10,$B$12)</f>
        <v>0.0884633</v>
      </c>
    </row>
    <row r="23" customFormat="false" ht="15" hidden="false" customHeight="false" outlineLevel="0" collapsed="false">
      <c r="A23" s="8" t="s">
        <v>276</v>
      </c>
      <c r="C23" s="38" t="n">
        <f aca="false">1/(1+C22)^C$20</f>
        <v>0.950684040680463</v>
      </c>
      <c r="D23" s="38" t="n">
        <f aca="false">C23/(1+D22)^(D$20-C$20)</f>
        <v>0.859228374010633</v>
      </c>
      <c r="E23" s="38" t="n">
        <f aca="false">D23/(1+E22)^(E$20-D$20)</f>
        <v>0.776570729194663</v>
      </c>
      <c r="F23" s="38" t="n">
        <f aca="false">E23/(1+F22)^(F$20-E$20)</f>
        <v>0.713456052394843</v>
      </c>
      <c r="G23" s="38" t="n">
        <f aca="false">F23/(1+G22)^(G$20-F$20)</f>
        <v>0.655470930802024</v>
      </c>
      <c r="H23" s="38" t="n">
        <f aca="false">G23/(1+H22)^(H$20-G$20)</f>
        <v>0.602198467143563</v>
      </c>
      <c r="I23" s="38" t="n">
        <f aca="false">H23/(1+I22)^(I$20-H$20)</f>
        <v>0.553255646877174</v>
      </c>
      <c r="J23" s="38" t="n">
        <f aca="false">I23/(1+J22)^(J$20-I$20)</f>
        <v>0.508290584420415</v>
      </c>
      <c r="K23" s="38" t="n">
        <f aca="false">J23/(1+K22)^(K$20-J$20)</f>
        <v>0.466979993188944</v>
      </c>
      <c r="L23" s="38" t="n">
        <f aca="false">K23/(1+L22)^(L$20-K$20)</f>
        <v>0.429026861253791</v>
      </c>
      <c r="M23" s="38" t="n">
        <f aca="false">L23/(1+M22)^(M$20-L$20)</f>
        <v>0.394158315906279</v>
      </c>
    </row>
    <row r="25" customFormat="false" ht="15" hidden="false" customHeight="false" outlineLevel="0" collapsed="false">
      <c r="A25" s="8" t="s">
        <v>277</v>
      </c>
      <c r="C25" s="34" t="n">
        <f aca="false">$B$12</f>
        <v>0.0884633</v>
      </c>
      <c r="D25" s="34" t="n">
        <f aca="false">$B$12</f>
        <v>0.0884633</v>
      </c>
      <c r="E25" s="34" t="n">
        <f aca="false">$B$12</f>
        <v>0.0884633</v>
      </c>
      <c r="F25" s="34" t="n">
        <f aca="false">$B$12</f>
        <v>0.0884633</v>
      </c>
      <c r="G25" s="34" t="n">
        <f aca="false">$B$12</f>
        <v>0.0884633</v>
      </c>
      <c r="H25" s="34" t="n">
        <f aca="false">$B$12</f>
        <v>0.0884633</v>
      </c>
      <c r="I25" s="34" t="n">
        <f aca="false">$B$12</f>
        <v>0.0884633</v>
      </c>
      <c r="J25" s="34" t="n">
        <f aca="false">$B$12</f>
        <v>0.0884633</v>
      </c>
      <c r="K25" s="34" t="n">
        <f aca="false">$B$12</f>
        <v>0.0884633</v>
      </c>
      <c r="L25" s="34" t="n">
        <f aca="false">$B$12</f>
        <v>0.0884633</v>
      </c>
      <c r="M25" s="34" t="n">
        <f aca="false">$B$12</f>
        <v>0.0884633</v>
      </c>
    </row>
    <row r="26" customFormat="false" ht="15" hidden="false" customHeight="false" outlineLevel="0" collapsed="false">
      <c r="A26" s="8" t="s">
        <v>278</v>
      </c>
      <c r="C26" s="38" t="n">
        <f aca="false">1/(1+C25)^C$20</f>
        <v>0.958502179627605</v>
      </c>
      <c r="D26" s="38" t="n">
        <f aca="false">C26/(1+D25)^(D$20-C$20)</f>
        <v>0.880601284055792</v>
      </c>
      <c r="E26" s="38" t="n">
        <f aca="false">D26/(1+E25)^(E$20-D$20)</f>
        <v>0.809031672501766</v>
      </c>
      <c r="F26" s="38" t="n">
        <f aca="false">E26/(1+F25)^(F$20-E$20)</f>
        <v>0.743278778900278</v>
      </c>
      <c r="G26" s="38" t="n">
        <f aca="false">F26/(1+G25)^(G$20-F$20)</f>
        <v>0.682869857808047</v>
      </c>
      <c r="H26" s="38" t="n">
        <f aca="false">G26/(1+H25)^(H$20-G$20)</f>
        <v>0.627370585492453</v>
      </c>
      <c r="I26" s="38" t="n">
        <f aca="false">H26/(1+I25)^(I$20-H$20)</f>
        <v>0.576381937261874</v>
      </c>
      <c r="J26" s="38" t="n">
        <f aca="false">I26/(1+J25)^(J$20-I$20)</f>
        <v>0.529537318586556</v>
      </c>
      <c r="K26" s="38" t="n">
        <f aca="false">J26/(1+K25)^(K$20-J$20)</f>
        <v>0.486499929383523</v>
      </c>
      <c r="L26" s="38" t="n">
        <f aca="false">K26/(1+L25)^(L$20-K$20)</f>
        <v>0.446960342515474</v>
      </c>
      <c r="M26" s="38" t="n">
        <f aca="false">L26/(1+M25)^(M$20-L$20)</f>
        <v>0.410634279093722</v>
      </c>
    </row>
    <row r="28" customFormat="false" ht="15" hidden="false" customHeight="false" outlineLevel="0" collapsed="false">
      <c r="A28" s="8" t="s">
        <v>279</v>
      </c>
      <c r="C28" s="34" t="n">
        <f aca="false">IF(C$19&lt;=$C$15,$C$10,$C$12)</f>
        <v>0.0959393</v>
      </c>
      <c r="D28" s="34" t="n">
        <f aca="false">IF(D$19&lt;=$C$15,$C$10,$C$12)</f>
        <v>0.0959393</v>
      </c>
      <c r="E28" s="34" t="n">
        <f aca="false">IF(E$19&lt;=$C$15,$C$10,$C$12)</f>
        <v>0.0959393</v>
      </c>
      <c r="F28" s="34" t="n">
        <f aca="false">IF(F$19&lt;=$C$15,$C$10,$C$12)</f>
        <v>0.0736373</v>
      </c>
      <c r="G28" s="34" t="n">
        <f aca="false">IF(G$19&lt;=$C$15,$C$10,$C$12)</f>
        <v>0.0736373</v>
      </c>
      <c r="H28" s="34" t="n">
        <f aca="false">IF(H$19&lt;=$C$15,$C$10,$C$12)</f>
        <v>0.0736373</v>
      </c>
      <c r="I28" s="34" t="n">
        <f aca="false">IF(I$19&lt;=$C$15,$C$10,$C$12)</f>
        <v>0.0736373</v>
      </c>
      <c r="J28" s="34" t="n">
        <f aca="false">IF(J$19&lt;=$C$15,$C$10,$C$12)</f>
        <v>0.0736373</v>
      </c>
      <c r="K28" s="34" t="n">
        <f aca="false">IF(K$19&lt;=$C$15,$C$10,$C$12)</f>
        <v>0.0736373</v>
      </c>
      <c r="L28" s="34" t="n">
        <f aca="false">IF(L$19&lt;=$C$15,$C$10,$C$12)</f>
        <v>0.0736373</v>
      </c>
      <c r="M28" s="34" t="n">
        <f aca="false">IF(M$19&lt;=$C$15,$C$10,$C$12)</f>
        <v>0.0736373</v>
      </c>
    </row>
    <row r="29" customFormat="false" ht="15" hidden="false" customHeight="false" outlineLevel="0" collapsed="false">
      <c r="A29" s="8" t="s">
        <v>280</v>
      </c>
      <c r="C29" s="38" t="n">
        <f aca="false">1/(1+C28)^C$20</f>
        <v>0.955227352021663</v>
      </c>
      <c r="D29" s="38" t="n">
        <f aca="false">C29/(1+D28)^(D$20-C$20)</f>
        <v>0.871606075283242</v>
      </c>
      <c r="E29" s="38" t="n">
        <f aca="false">D29/(1+E28)^(E$20-D$20)</f>
        <v>0.795305064142915</v>
      </c>
      <c r="F29" s="38" t="n">
        <f aca="false">E29/(1+F28)^(F$20-E$20)</f>
        <v>0.740757669413046</v>
      </c>
      <c r="G29" s="38" t="n">
        <f aca="false">F29/(1+G28)^(G$20-F$20)</f>
        <v>0.689951503559951</v>
      </c>
      <c r="H29" s="38" t="n">
        <f aca="false">G29/(1+H28)^(H$20-G$20)</f>
        <v>0.642629967829872</v>
      </c>
      <c r="I29" s="38" t="n">
        <f aca="false">H29/(1+I28)^(I$20-H$20)</f>
        <v>0.598554062745279</v>
      </c>
      <c r="J29" s="38" t="n">
        <f aca="false">I29/(1+J28)^(J$20-I$20)</f>
        <v>0.557501181027596</v>
      </c>
      <c r="K29" s="38" t="n">
        <f aca="false">J29/(1+K28)^(K$20-J$20)</f>
        <v>0.519263983309444</v>
      </c>
      <c r="L29" s="38" t="n">
        <f aca="false">K29/(1+L28)^(L$20-K$20)</f>
        <v>0.483649350958134</v>
      </c>
      <c r="M29" s="38" t="n">
        <f aca="false">L29/(1+M28)^(M$20-L$20)</f>
        <v>0.450477410721604</v>
      </c>
    </row>
    <row r="31" customFormat="false" ht="15" hidden="false" customHeight="false" outlineLevel="0" collapsed="false">
      <c r="A31" s="8" t="s">
        <v>281</v>
      </c>
      <c r="C31" s="34" t="n">
        <f aca="false">$C$12</f>
        <v>0.0736373</v>
      </c>
      <c r="D31" s="34" t="n">
        <f aca="false">$C$12</f>
        <v>0.0736373</v>
      </c>
      <c r="E31" s="34" t="n">
        <f aca="false">$C$12</f>
        <v>0.0736373</v>
      </c>
      <c r="F31" s="34" t="n">
        <f aca="false">$C$12</f>
        <v>0.0736373</v>
      </c>
      <c r="G31" s="34" t="n">
        <f aca="false">$C$12</f>
        <v>0.0736373</v>
      </c>
      <c r="H31" s="34" t="n">
        <f aca="false">$C$12</f>
        <v>0.0736373</v>
      </c>
      <c r="I31" s="34" t="n">
        <f aca="false">$C$12</f>
        <v>0.0736373</v>
      </c>
      <c r="J31" s="34" t="n">
        <f aca="false">$C$12</f>
        <v>0.0736373</v>
      </c>
      <c r="K31" s="34" t="n">
        <f aca="false">$C$12</f>
        <v>0.0736373</v>
      </c>
      <c r="L31" s="34" t="n">
        <f aca="false">$C$12</f>
        <v>0.0736373</v>
      </c>
      <c r="M31" s="34" t="n">
        <f aca="false">$C$12</f>
        <v>0.0736373</v>
      </c>
    </row>
    <row r="32" customFormat="false" ht="15" hidden="false" customHeight="false" outlineLevel="0" collapsed="false">
      <c r="A32" s="8" t="s">
        <v>282</v>
      </c>
      <c r="C32" s="38" t="n">
        <f aca="false">1/(1+C31)^C$20</f>
        <v>0.965097530594706</v>
      </c>
      <c r="D32" s="38" t="n">
        <f aca="false">C32/(1+D31)^(D$20-C$20)</f>
        <v>0.898904621322961</v>
      </c>
      <c r="E32" s="38" t="n">
        <f aca="false">D32/(1+E31)^(E$20-D$20)</f>
        <v>0.837251668997492</v>
      </c>
      <c r="F32" s="38" t="n">
        <f aca="false">E32/(1+F31)^(F$20-E$20)</f>
        <v>0.779827292696977</v>
      </c>
      <c r="G32" s="38" t="n">
        <f aca="false">F32/(1+G31)^(G$20-F$20)</f>
        <v>0.726341468107504</v>
      </c>
      <c r="H32" s="38" t="n">
        <f aca="false">G32/(1+H31)^(H$20-G$20)</f>
        <v>0.676524062742142</v>
      </c>
      <c r="I32" s="38" t="n">
        <f aca="false">H32/(1+I31)^(I$20-H$20)</f>
        <v>0.630123471625047</v>
      </c>
      <c r="J32" s="38" t="n">
        <f aca="false">I32/(1+J31)^(J$20-I$20)</f>
        <v>0.586905346549573</v>
      </c>
      <c r="K32" s="38" t="n">
        <f aca="false">J32/(1+K31)^(K$20-J$20)</f>
        <v>0.546651412492443</v>
      </c>
      <c r="L32" s="38" t="n">
        <f aca="false">K32/(1+L31)^(L$20-K$20)</f>
        <v>0.509158365206241</v>
      </c>
      <c r="M32" s="38" t="n">
        <f aca="false">L32/(1+M31)^(M$20-L$20)</f>
        <v>0.474236844422452</v>
      </c>
    </row>
    <row r="34" customFormat="false" ht="15" hidden="false" customHeight="false" outlineLevel="0" collapsed="false">
      <c r="A34" s="8" t="s">
        <v>283</v>
      </c>
      <c r="C34" s="34" t="n">
        <f aca="false">IF(C$19&lt;=$D$15,$D$10,$D$12)</f>
        <v>0.1211393</v>
      </c>
      <c r="D34" s="34" t="n">
        <f aca="false">IF(D$19&lt;=$D$15,$D$10,$D$12)</f>
        <v>0.1211393</v>
      </c>
      <c r="E34" s="34" t="n">
        <f aca="false">IF(E$19&lt;=$D$15,$D$10,$D$12)</f>
        <v>0.1211393</v>
      </c>
      <c r="F34" s="34" t="n">
        <f aca="false">IF(F$19&lt;=$D$15,$D$10,$D$12)</f>
        <v>0.1211393</v>
      </c>
      <c r="G34" s="34" t="n">
        <f aca="false">IF(G$19&lt;=$D$15,$D$10,$D$12)</f>
        <v>0.1054733</v>
      </c>
      <c r="H34" s="34" t="n">
        <f aca="false">IF(H$19&lt;=$D$15,$D$10,$D$12)</f>
        <v>0.1054733</v>
      </c>
      <c r="I34" s="34" t="n">
        <f aca="false">IF(I$19&lt;=$D$15,$D$10,$D$12)</f>
        <v>0.1054733</v>
      </c>
      <c r="J34" s="34" t="n">
        <f aca="false">IF(J$19&lt;=$D$15,$D$10,$D$12)</f>
        <v>0.1054733</v>
      </c>
      <c r="K34" s="34" t="n">
        <f aca="false">IF(K$19&lt;=$D$15,$D$10,$D$12)</f>
        <v>0.1054733</v>
      </c>
      <c r="L34" s="34" t="n">
        <f aca="false">IF(L$19&lt;=$D$15,$D$10,$D$12)</f>
        <v>0.1054733</v>
      </c>
      <c r="M34" s="34" t="n">
        <f aca="false">IF(M$19&lt;=$D$15,$D$10,$D$12)</f>
        <v>0.1054733</v>
      </c>
    </row>
    <row r="35" customFormat="false" ht="15" hidden="false" customHeight="false" outlineLevel="0" collapsed="false">
      <c r="A35" s="8" t="s">
        <v>284</v>
      </c>
      <c r="C35" s="38" t="n">
        <f aca="false">1/(1+C34)^C$20</f>
        <v>0.944430951858074</v>
      </c>
      <c r="D35" s="38" t="n">
        <f aca="false">C35/(1+D34)^(D$20-C$20)</f>
        <v>0.84238502018266</v>
      </c>
      <c r="E35" s="38" t="n">
        <f aca="false">D35/(1+E34)^(E$20-D$20)</f>
        <v>0.751365169504503</v>
      </c>
      <c r="F35" s="38" t="n">
        <f aca="false">E35/(1+F34)^(F$20-E$20)</f>
        <v>0.670180029818332</v>
      </c>
      <c r="G35" s="38" t="n">
        <f aca="false">F35/(1+G34)^(G$20-F$20)</f>
        <v>0.606238097128471</v>
      </c>
      <c r="H35" s="38" t="n">
        <f aca="false">G35/(1+H34)^(H$20-G$20)</f>
        <v>0.548396869583798</v>
      </c>
      <c r="I35" s="38" t="n">
        <f aca="false">H35/(1+I34)^(I$20-H$20)</f>
        <v>0.496074278396229</v>
      </c>
      <c r="J35" s="38" t="n">
        <f aca="false">I35/(1+J34)^(J$20-I$20)</f>
        <v>0.448743790009428</v>
      </c>
      <c r="K35" s="38" t="n">
        <f aca="false">J35/(1+K34)^(K$20-J$20)</f>
        <v>0.4059291074777</v>
      </c>
      <c r="L35" s="38" t="n">
        <f aca="false">K35/(1+L34)^(L$20-K$20)</f>
        <v>0.367199377386772</v>
      </c>
      <c r="M35" s="38" t="n">
        <f aca="false">L35/(1+M34)^(M$20-L$20)</f>
        <v>0.332164854082656</v>
      </c>
    </row>
    <row r="37" customFormat="false" ht="15" hidden="false" customHeight="false" outlineLevel="0" collapsed="false">
      <c r="A37" s="8" t="s">
        <v>285</v>
      </c>
      <c r="C37" s="34" t="n">
        <f aca="false">$D$12</f>
        <v>0.1054733</v>
      </c>
      <c r="D37" s="34" t="n">
        <f aca="false">$D$12</f>
        <v>0.1054733</v>
      </c>
      <c r="E37" s="34" t="n">
        <f aca="false">$D$12</f>
        <v>0.1054733</v>
      </c>
      <c r="F37" s="34" t="n">
        <f aca="false">$D$12</f>
        <v>0.1054733</v>
      </c>
      <c r="G37" s="34" t="n">
        <f aca="false">$D$12</f>
        <v>0.1054733</v>
      </c>
      <c r="H37" s="34" t="n">
        <f aca="false">$D$12</f>
        <v>0.1054733</v>
      </c>
      <c r="I37" s="34" t="n">
        <f aca="false">$D$12</f>
        <v>0.1054733</v>
      </c>
      <c r="J37" s="34" t="n">
        <f aca="false">$D$12</f>
        <v>0.1054733</v>
      </c>
      <c r="K37" s="34" t="n">
        <f aca="false">$D$12</f>
        <v>0.1054733</v>
      </c>
      <c r="L37" s="34" t="n">
        <f aca="false">$D$12</f>
        <v>0.1054733</v>
      </c>
      <c r="M37" s="34" t="n">
        <f aca="false">$D$12</f>
        <v>0.1054733</v>
      </c>
    </row>
    <row r="38" customFormat="false" ht="15" hidden="false" customHeight="false" outlineLevel="0" collapsed="false">
      <c r="A38" s="8" t="s">
        <v>286</v>
      </c>
      <c r="C38" s="38" t="n">
        <f aca="false">1/(1+C37)^C$20</f>
        <v>0.951099319931087</v>
      </c>
      <c r="D38" s="38" t="n">
        <f aca="false">C38/(1+D37)^(D$20-C$20)</f>
        <v>0.860354854279237</v>
      </c>
      <c r="E38" s="38" t="n">
        <f aca="false">D38/(1+E37)^(E$20-D$20)</f>
        <v>0.778268325683883</v>
      </c>
      <c r="F38" s="38" t="n">
        <f aca="false">E38/(1+F37)^(F$20-E$20)</f>
        <v>0.704013679646431</v>
      </c>
      <c r="G38" s="38" t="n">
        <f aca="false">F38/(1+G37)^(G$20-F$20)</f>
        <v>0.636843675597078</v>
      </c>
      <c r="H38" s="38" t="n">
        <f aca="false">G38/(1+H37)^(H$20-G$20)</f>
        <v>0.576082367251274</v>
      </c>
      <c r="I38" s="38" t="n">
        <f aca="false">H38/(1+I37)^(I$20-H$20)</f>
        <v>0.521118300416006</v>
      </c>
      <c r="J38" s="38" t="n">
        <f aca="false">I38/(1+J37)^(J$20-I$20)</f>
        <v>0.471398359793951</v>
      </c>
      <c r="K38" s="38" t="n">
        <f aca="false">J38/(1+K37)^(K$20-J$20)</f>
        <v>0.426422202864557</v>
      </c>
      <c r="L38" s="38" t="n">
        <f aca="false">K38/(1+L37)^(L$20-K$20)</f>
        <v>0.385737224829</v>
      </c>
      <c r="M38" s="38" t="n">
        <f aca="false">L38/(1+M37)^(M$20-L$20)</f>
        <v>0.348934003950163</v>
      </c>
    </row>
    <row r="40" customFormat="false" ht="15" hidden="false" customHeight="false" outlineLevel="0" collapsed="false">
      <c r="A40" s="8" t="s">
        <v>287</v>
      </c>
      <c r="C40" s="34" t="n">
        <f aca="false">IF(C$19&lt;=$E$15,$E$10,$E$12)</f>
        <v>0.121471</v>
      </c>
      <c r="D40" s="34" t="n">
        <f aca="false">IF(D$19&lt;=$E$15,$E$10,$E$12)</f>
        <v>0.121471</v>
      </c>
      <c r="E40" s="34" t="n">
        <f aca="false">IF(E$19&lt;=$E$15,$E$10,$E$12)</f>
        <v>0.121471</v>
      </c>
      <c r="F40" s="34" t="n">
        <f aca="false">IF(F$19&lt;=$E$15,$E$10,$E$12)</f>
        <v>0.121471</v>
      </c>
      <c r="G40" s="34" t="n">
        <f aca="false">IF(G$19&lt;=$E$15,$E$10,$E$12)</f>
        <v>0.105805</v>
      </c>
      <c r="H40" s="34" t="n">
        <f aca="false">IF(H$19&lt;=$E$15,$E$10,$E$12)</f>
        <v>0.105805</v>
      </c>
      <c r="I40" s="34" t="n">
        <f aca="false">IF(I$19&lt;=$E$15,$E$10,$E$12)</f>
        <v>0.105805</v>
      </c>
      <c r="J40" s="34" t="n">
        <f aca="false">IF(J$19&lt;=$E$15,$E$10,$E$12)</f>
        <v>0.105805</v>
      </c>
      <c r="K40" s="34" t="n">
        <f aca="false">IF(K$19&lt;=$E$15,$E$10,$E$12)</f>
        <v>0.105805</v>
      </c>
      <c r="L40" s="34" t="n">
        <f aca="false">IF(L$19&lt;=$E$15,$E$10,$E$12)</f>
        <v>0.105805</v>
      </c>
      <c r="M40" s="34" t="n">
        <f aca="false">IF(M$19&lt;=$E$15,$E$10,$E$12)</f>
        <v>0.105805</v>
      </c>
    </row>
    <row r="41" customFormat="false" ht="15" hidden="false" customHeight="false" outlineLevel="0" collapsed="false">
      <c r="A41" s="8" t="s">
        <v>288</v>
      </c>
      <c r="C41" s="38" t="n">
        <f aca="false">1/(1+C40)^C$20</f>
        <v>0.944291273295661</v>
      </c>
      <c r="D41" s="38" t="n">
        <f aca="false">C41/(1+D40)^(D$20-C$20)</f>
        <v>0.842011316650775</v>
      </c>
      <c r="E41" s="38" t="n">
        <f aca="false">D41/(1+E40)^(E$20-D$20)</f>
        <v>0.750809710327574</v>
      </c>
      <c r="F41" s="38" t="n">
        <f aca="false">E41/(1+F40)^(F$20-E$20)</f>
        <v>0.669486513987053</v>
      </c>
      <c r="G41" s="38" t="n">
        <f aca="false">F41/(1+G40)^(G$20-F$20)</f>
        <v>0.60542908920384</v>
      </c>
      <c r="H41" s="38" t="n">
        <f aca="false">G41/(1+H40)^(H$20-G$20)</f>
        <v>0.547500770211602</v>
      </c>
      <c r="I41" s="38" t="n">
        <f aca="false">H41/(1+I40)^(I$20-H$20)</f>
        <v>0.49511511542415</v>
      </c>
      <c r="J41" s="38" t="n">
        <f aca="false">I41/(1+J40)^(J$20-I$20)</f>
        <v>0.447741794822912</v>
      </c>
      <c r="K41" s="38" t="n">
        <f aca="false">J41/(1+K40)^(K$20-J$20)</f>
        <v>0.404901221122089</v>
      </c>
      <c r="L41" s="38" t="n">
        <f aca="false">K41/(1+L40)^(L$20-K$20)</f>
        <v>0.366159694631593</v>
      </c>
      <c r="M41" s="38" t="n">
        <f aca="false">L41/(1+M40)^(M$20-L$20)</f>
        <v>0.331125012666423</v>
      </c>
    </row>
    <row r="43" customFormat="false" ht="15" hidden="false" customHeight="false" outlineLevel="0" collapsed="false">
      <c r="A43" s="8" t="s">
        <v>289</v>
      </c>
      <c r="C43" s="34" t="n">
        <f aca="false">$E$12</f>
        <v>0.105805</v>
      </c>
      <c r="D43" s="34" t="n">
        <f aca="false">$E$12</f>
        <v>0.105805</v>
      </c>
      <c r="E43" s="34" t="n">
        <f aca="false">$E$12</f>
        <v>0.105805</v>
      </c>
      <c r="F43" s="34" t="n">
        <f aca="false">$E$12</f>
        <v>0.105805</v>
      </c>
      <c r="G43" s="34" t="n">
        <f aca="false">$E$12</f>
        <v>0.105805</v>
      </c>
      <c r="H43" s="34" t="n">
        <f aca="false">$E$12</f>
        <v>0.105805</v>
      </c>
      <c r="I43" s="34" t="n">
        <f aca="false">$E$12</f>
        <v>0.105805</v>
      </c>
      <c r="J43" s="34" t="n">
        <f aca="false">$E$12</f>
        <v>0.105805</v>
      </c>
      <c r="K43" s="34" t="n">
        <f aca="false">$E$12</f>
        <v>0.105805</v>
      </c>
      <c r="L43" s="34" t="n">
        <f aca="false">$E$12</f>
        <v>0.105805</v>
      </c>
      <c r="M43" s="34" t="n">
        <f aca="false">$E$12</f>
        <v>0.105805</v>
      </c>
    </row>
    <row r="44" customFormat="false" ht="15" hidden="false" customHeight="false" outlineLevel="0" collapsed="false">
      <c r="A44" s="8" t="s">
        <v>290</v>
      </c>
      <c r="C44" s="38" t="n">
        <f aca="false">1/(1+C43)^C$20</f>
        <v>0.95095666218131</v>
      </c>
      <c r="D44" s="38" t="n">
        <f aca="false">C44/(1+D43)^(D$20-C$20)</f>
        <v>0.859967772058646</v>
      </c>
      <c r="E44" s="38" t="n">
        <f aca="false">D44/(1+E43)^(E$20-D$20)</f>
        <v>0.777684828752489</v>
      </c>
      <c r="F44" s="38" t="n">
        <f aca="false">E44/(1+F43)^(F$20-E$20)</f>
        <v>0.703274834851071</v>
      </c>
      <c r="G44" s="38" t="n">
        <f aca="false">F44/(1+G43)^(G$20-F$20)</f>
        <v>0.635984495323381</v>
      </c>
      <c r="H44" s="38" t="n">
        <f aca="false">G44/(1+H43)^(H$20-G$20)</f>
        <v>0.575132591481663</v>
      </c>
      <c r="I44" s="38" t="n">
        <f aca="false">H44/(1+I43)^(I$20-H$20)</f>
        <v>0.520103084614072</v>
      </c>
      <c r="J44" s="38" t="n">
        <f aca="false">I44/(1+J43)^(J$20-I$20)</f>
        <v>0.470338879471581</v>
      </c>
      <c r="K44" s="38" t="n">
        <f aca="false">J44/(1+K43)^(K$20-J$20)</f>
        <v>0.425336184473375</v>
      </c>
      <c r="L44" s="38" t="n">
        <f aca="false">K44/(1+L43)^(L$20-K$20)</f>
        <v>0.384639411535827</v>
      </c>
      <c r="M44" s="38" t="n">
        <f aca="false">L44/(1+M43)^(M$20-L$20)</f>
        <v>0.347836563893116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2" min="10" style="0" width="11"/>
    <col collapsed="false" customWidth="true" hidden="false" outlineLevel="0" max="13" min="13" style="0" width="3"/>
    <col collapsed="false" customWidth="true" hidden="false" outlineLevel="0" max="17" min="14" style="0" width="11"/>
  </cols>
  <sheetData>
    <row r="1" customFormat="false" ht="24" hidden="false" customHeight="true" outlineLevel="0" collapsed="false">
      <c r="A1" s="1" t="s">
        <v>291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292</v>
      </c>
    </row>
    <row r="3" customFormat="false" ht="15" hidden="false" customHeight="false" outlineLevel="0" collapsed="false">
      <c r="H3" s="17" t="s">
        <v>293</v>
      </c>
      <c r="N3" s="17" t="s">
        <v>294</v>
      </c>
    </row>
    <row r="4" customFormat="false" ht="15" hidden="false" customHeight="false" outlineLevel="0" collapsed="false">
      <c r="A4" s="4" t="s">
        <v>295</v>
      </c>
      <c r="B4" s="4" t="s">
        <v>212</v>
      </c>
      <c r="C4" s="4" t="s">
        <v>296</v>
      </c>
      <c r="D4" s="4" t="s">
        <v>297</v>
      </c>
      <c r="E4" s="4" t="s">
        <v>298</v>
      </c>
      <c r="F4" s="4" t="s">
        <v>299</v>
      </c>
      <c r="G4" s="4" t="s">
        <v>300</v>
      </c>
      <c r="H4" s="4" t="s">
        <v>301</v>
      </c>
      <c r="I4" s="4" t="s">
        <v>302</v>
      </c>
      <c r="J4" s="4" t="s">
        <v>303</v>
      </c>
      <c r="K4" s="4" t="s">
        <v>304</v>
      </c>
      <c r="N4" s="4" t="s">
        <v>301</v>
      </c>
      <c r="O4" s="4" t="s">
        <v>302</v>
      </c>
      <c r="P4" s="4" t="s">
        <v>303</v>
      </c>
      <c r="Q4" s="4" t="s">
        <v>304</v>
      </c>
    </row>
    <row r="5" customFormat="false" ht="15" hidden="false" customHeight="false" outlineLevel="0" collapsed="false">
      <c r="A5" s="4" t="s">
        <v>226</v>
      </c>
      <c r="B5" s="8" t="s">
        <v>305</v>
      </c>
      <c r="C5" s="8" t="s">
        <v>306</v>
      </c>
      <c r="D5" s="22" t="n">
        <v>2027</v>
      </c>
      <c r="E5" s="25" t="n">
        <v>0.8</v>
      </c>
      <c r="F5" s="25" t="n">
        <v>0.9</v>
      </c>
      <c r="G5" s="25" t="n">
        <v>0.96</v>
      </c>
      <c r="H5" s="39" t="n">
        <f aca="false">F5</f>
        <v>0.9</v>
      </c>
      <c r="I5" s="30" t="n">
        <v>0.8</v>
      </c>
      <c r="J5" s="39" t="n">
        <f aca="false">H5</f>
        <v>0.9</v>
      </c>
      <c r="K5" s="39" t="n">
        <f aca="false">H5</f>
        <v>0.9</v>
      </c>
      <c r="N5" s="39" t="n">
        <f aca="false">H5</f>
        <v>0.9</v>
      </c>
      <c r="O5" s="39" t="n">
        <f aca="false">I5</f>
        <v>0.8</v>
      </c>
      <c r="P5" s="39" t="n">
        <f aca="false">J5</f>
        <v>0.9</v>
      </c>
      <c r="Q5" s="39" t="n">
        <f aca="false">K5</f>
        <v>0.9</v>
      </c>
    </row>
    <row r="6" customFormat="false" ht="15" hidden="false" customHeight="false" outlineLevel="0" collapsed="false">
      <c r="A6" s="4" t="s">
        <v>228</v>
      </c>
      <c r="B6" s="8" t="s">
        <v>307</v>
      </c>
      <c r="C6" s="8" t="s">
        <v>226</v>
      </c>
      <c r="D6" s="22" t="n">
        <v>2028</v>
      </c>
      <c r="E6" s="25" t="n">
        <v>0.45</v>
      </c>
      <c r="F6" s="25" t="n">
        <v>0.65</v>
      </c>
      <c r="G6" s="25" t="n">
        <v>0.85</v>
      </c>
      <c r="H6" s="39" t="n">
        <f aca="false">F6</f>
        <v>0.65</v>
      </c>
      <c r="I6" s="30" t="n">
        <v>0.45</v>
      </c>
      <c r="J6" s="39" t="n">
        <f aca="false">H6</f>
        <v>0.65</v>
      </c>
      <c r="K6" s="39" t="n">
        <f aca="false">H6</f>
        <v>0.65</v>
      </c>
      <c r="N6" s="39" t="n">
        <f aca="false">H5*H6</f>
        <v>0.585</v>
      </c>
      <c r="O6" s="39" t="n">
        <f aca="false">I5*I6</f>
        <v>0.36</v>
      </c>
      <c r="P6" s="39" t="n">
        <f aca="false">J5*J6</f>
        <v>0.585</v>
      </c>
      <c r="Q6" s="39" t="n">
        <f aca="false">K5*K6</f>
        <v>0.585</v>
      </c>
    </row>
    <row r="7" customFormat="false" ht="15" hidden="false" customHeight="false" outlineLevel="0" collapsed="false">
      <c r="A7" s="4" t="s">
        <v>308</v>
      </c>
      <c r="B7" s="8" t="s">
        <v>309</v>
      </c>
      <c r="C7" s="8" t="s">
        <v>226</v>
      </c>
      <c r="D7" s="22" t="n">
        <v>2028</v>
      </c>
      <c r="E7" s="25" t="n">
        <v>0.5</v>
      </c>
      <c r="F7" s="25" t="n">
        <v>0.7</v>
      </c>
      <c r="G7" s="25" t="n">
        <v>0.85</v>
      </c>
      <c r="H7" s="39" t="n">
        <f aca="false">F7</f>
        <v>0.7</v>
      </c>
      <c r="I7" s="39" t="n">
        <f aca="false">H7</f>
        <v>0.7</v>
      </c>
      <c r="J7" s="39" t="n">
        <f aca="false">I7</f>
        <v>0.7</v>
      </c>
      <c r="K7" s="39" t="n">
        <f aca="false">I7</f>
        <v>0.7</v>
      </c>
      <c r="N7" s="39" t="n">
        <f aca="false">H5*H7</f>
        <v>0.63</v>
      </c>
      <c r="O7" s="39" t="n">
        <f aca="false">I5*I7</f>
        <v>0.56</v>
      </c>
      <c r="P7" s="39" t="n">
        <f aca="false">J5*J7</f>
        <v>0.63</v>
      </c>
      <c r="Q7" s="39" t="n">
        <f aca="false">K5*K7</f>
        <v>0.63</v>
      </c>
    </row>
    <row r="8" customFormat="false" ht="15" hidden="false" customHeight="false" outlineLevel="0" collapsed="false">
      <c r="A8" s="4" t="s">
        <v>230</v>
      </c>
      <c r="B8" s="8" t="s">
        <v>310</v>
      </c>
      <c r="C8" s="8" t="s">
        <v>311</v>
      </c>
      <c r="D8" s="22" t="n">
        <v>2029</v>
      </c>
      <c r="E8" s="25" t="n">
        <v>0.25</v>
      </c>
      <c r="F8" s="25" t="n">
        <v>0.4</v>
      </c>
      <c r="G8" s="25" t="n">
        <v>0.6</v>
      </c>
      <c r="H8" s="39" t="n">
        <f aca="false">F8</f>
        <v>0.4</v>
      </c>
      <c r="I8" s="39" t="n">
        <f aca="false">H8</f>
        <v>0.4</v>
      </c>
      <c r="J8" s="39" t="n">
        <f aca="false">I8</f>
        <v>0.4</v>
      </c>
      <c r="K8" s="39" t="n">
        <f aca="false">I8</f>
        <v>0.4</v>
      </c>
      <c r="N8" s="39" t="n">
        <f aca="false">H5*H6*H7*H8</f>
        <v>0.1638</v>
      </c>
      <c r="O8" s="39" t="n">
        <f aca="false">I5*I6*I7*I8</f>
        <v>0.1008</v>
      </c>
      <c r="P8" s="39" t="n">
        <f aca="false">J5*J6*J7*J8</f>
        <v>0.1638</v>
      </c>
      <c r="Q8" s="39" t="n">
        <f aca="false">K5*K6*K7*K8</f>
        <v>0.1638</v>
      </c>
    </row>
    <row r="9" customFormat="false" ht="15" hidden="false" customHeight="false" outlineLevel="0" collapsed="false">
      <c r="A9" s="4" t="s">
        <v>232</v>
      </c>
      <c r="B9" s="8" t="s">
        <v>312</v>
      </c>
      <c r="C9" s="8" t="s">
        <v>228</v>
      </c>
      <c r="D9" s="22" t="n">
        <v>2030</v>
      </c>
      <c r="E9" s="25" t="n">
        <v>0.25</v>
      </c>
      <c r="F9" s="25" t="n">
        <v>0.45</v>
      </c>
      <c r="G9" s="25" t="n">
        <v>0.65</v>
      </c>
      <c r="H9" s="39" t="n">
        <f aca="false">F9</f>
        <v>0.45</v>
      </c>
      <c r="I9" s="30" t="n">
        <v>0.25</v>
      </c>
      <c r="J9" s="39" t="n">
        <f aca="false">H9</f>
        <v>0.45</v>
      </c>
      <c r="K9" s="39" t="n">
        <f aca="false">H9</f>
        <v>0.45</v>
      </c>
      <c r="N9" s="39" t="n">
        <f aca="false">H5*H6*H9</f>
        <v>0.26325</v>
      </c>
      <c r="O9" s="39" t="n">
        <f aca="false">I5*I6*I9</f>
        <v>0.09</v>
      </c>
      <c r="P9" s="39" t="n">
        <f aca="false">J5*J6*J9</f>
        <v>0.26325</v>
      </c>
      <c r="Q9" s="39" t="n">
        <f aca="false">K5*K6*K9</f>
        <v>0.26325</v>
      </c>
    </row>
    <row r="10" customFormat="false" ht="15" hidden="false" customHeight="false" outlineLevel="0" collapsed="false">
      <c r="A10" s="4" t="s">
        <v>236</v>
      </c>
      <c r="B10" s="8" t="s">
        <v>313</v>
      </c>
      <c r="C10" s="8" t="s">
        <v>314</v>
      </c>
      <c r="D10" s="22" t="n">
        <v>2028</v>
      </c>
      <c r="E10" s="25" t="n">
        <v>0.6</v>
      </c>
      <c r="F10" s="25" t="n">
        <v>0.8</v>
      </c>
      <c r="G10" s="25" t="n">
        <v>0.92</v>
      </c>
      <c r="H10" s="39" t="n">
        <f aca="false">F10</f>
        <v>0.8</v>
      </c>
      <c r="I10" s="30" t="n">
        <v>0.6</v>
      </c>
      <c r="J10" s="39" t="n">
        <f aca="false">I10</f>
        <v>0.6</v>
      </c>
      <c r="K10" s="39" t="n">
        <f aca="false">H10</f>
        <v>0.8</v>
      </c>
      <c r="N10" s="39" t="n">
        <f aca="false">H5*H6*H10</f>
        <v>0.468</v>
      </c>
      <c r="O10" s="39" t="n">
        <f aca="false">I5*I6*I10</f>
        <v>0.216</v>
      </c>
      <c r="P10" s="39" t="n">
        <f aca="false">J5*J6*J10</f>
        <v>0.351</v>
      </c>
      <c r="Q10" s="39" t="n">
        <f aca="false">K5*K6*K10</f>
        <v>0.468</v>
      </c>
    </row>
    <row r="11" customFormat="false" ht="15" hidden="false" customHeight="false" outlineLevel="0" collapsed="false">
      <c r="A11" s="4" t="s">
        <v>240</v>
      </c>
      <c r="B11" s="8" t="s">
        <v>315</v>
      </c>
      <c r="C11" s="8" t="s">
        <v>306</v>
      </c>
      <c r="D11" s="22" t="n">
        <v>2027</v>
      </c>
      <c r="E11" s="25" t="n">
        <v>0.75</v>
      </c>
      <c r="F11" s="25" t="n">
        <v>0.88</v>
      </c>
      <c r="G11" s="25" t="n">
        <v>0.95</v>
      </c>
      <c r="H11" s="39" t="n">
        <f aca="false">F11</f>
        <v>0.88</v>
      </c>
      <c r="I11" s="39" t="n">
        <f aca="false">H11</f>
        <v>0.88</v>
      </c>
      <c r="J11" s="39" t="n">
        <f aca="false">I11</f>
        <v>0.88</v>
      </c>
      <c r="K11" s="39" t="n">
        <f aca="false">I11</f>
        <v>0.88</v>
      </c>
      <c r="N11" s="39" t="n">
        <f aca="false">H11</f>
        <v>0.88</v>
      </c>
      <c r="O11" s="39" t="n">
        <f aca="false">I11</f>
        <v>0.88</v>
      </c>
      <c r="P11" s="39" t="n">
        <f aca="false">J11</f>
        <v>0.88</v>
      </c>
      <c r="Q11" s="39" t="n">
        <f aca="false">K11</f>
        <v>0.88</v>
      </c>
    </row>
    <row r="12" customFormat="false" ht="15" hidden="false" customHeight="false" outlineLevel="0" collapsed="false">
      <c r="A12" s="4" t="s">
        <v>238</v>
      </c>
      <c r="B12" s="8" t="s">
        <v>316</v>
      </c>
      <c r="C12" s="8" t="s">
        <v>236</v>
      </c>
      <c r="D12" s="22" t="n">
        <v>2030</v>
      </c>
      <c r="E12" s="25" t="n">
        <v>0.5</v>
      </c>
      <c r="F12" s="25" t="n">
        <v>0.7</v>
      </c>
      <c r="G12" s="25" t="n">
        <v>0.85</v>
      </c>
      <c r="H12" s="39" t="n">
        <f aca="false">F12</f>
        <v>0.7</v>
      </c>
      <c r="I12" s="39" t="n">
        <f aca="false">H12</f>
        <v>0.7</v>
      </c>
      <c r="J12" s="39" t="n">
        <f aca="false">I12</f>
        <v>0.7</v>
      </c>
      <c r="K12" s="39" t="n">
        <f aca="false">I12</f>
        <v>0.7</v>
      </c>
      <c r="N12" s="39" t="n">
        <f aca="false">H5*H6*H10*H12</f>
        <v>0.3276</v>
      </c>
      <c r="O12" s="39" t="n">
        <f aca="false">I5*I6*I10*I12</f>
        <v>0.1512</v>
      </c>
      <c r="P12" s="39" t="n">
        <f aca="false">J5*J6*J10*J12</f>
        <v>0.2457</v>
      </c>
      <c r="Q12" s="39" t="n">
        <f aca="false">K5*K6*K10*K12</f>
        <v>0.3276</v>
      </c>
    </row>
    <row r="13" customFormat="false" ht="15" hidden="false" customHeight="false" outlineLevel="0" collapsed="false">
      <c r="A13" s="4" t="s">
        <v>242</v>
      </c>
      <c r="B13" s="8" t="s">
        <v>317</v>
      </c>
      <c r="C13" s="8" t="s">
        <v>306</v>
      </c>
      <c r="D13" s="22" t="n">
        <v>2028</v>
      </c>
      <c r="E13" s="25" t="n">
        <v>0.4</v>
      </c>
      <c r="F13" s="25" t="n">
        <v>0.6</v>
      </c>
      <c r="G13" s="25" t="n">
        <v>0.75</v>
      </c>
      <c r="H13" s="39" t="n">
        <f aca="false">F13</f>
        <v>0.6</v>
      </c>
      <c r="I13" s="39" t="n">
        <f aca="false">H13</f>
        <v>0.6</v>
      </c>
      <c r="J13" s="39" t="n">
        <f aca="false">I13</f>
        <v>0.6</v>
      </c>
      <c r="K13" s="39" t="n">
        <f aca="false">I13</f>
        <v>0.6</v>
      </c>
      <c r="N13" s="39" t="n">
        <f aca="false">H13</f>
        <v>0.6</v>
      </c>
      <c r="O13" s="39" t="n">
        <f aca="false">I13</f>
        <v>0.6</v>
      </c>
      <c r="P13" s="39" t="n">
        <f aca="false">J13</f>
        <v>0.6</v>
      </c>
      <c r="Q13" s="39" t="n">
        <f aca="false">K13</f>
        <v>0.6</v>
      </c>
    </row>
    <row r="14" customFormat="false" ht="15" hidden="false" customHeight="false" outlineLevel="0" collapsed="false">
      <c r="A14" s="4" t="s">
        <v>245</v>
      </c>
      <c r="B14" s="8" t="s">
        <v>318</v>
      </c>
      <c r="C14" s="8" t="s">
        <v>306</v>
      </c>
      <c r="D14" s="22" t="n">
        <v>2027</v>
      </c>
      <c r="E14" s="25" t="n">
        <v>0.35</v>
      </c>
      <c r="F14" s="25" t="n">
        <v>0.55</v>
      </c>
      <c r="G14" s="25" t="n">
        <v>0.75</v>
      </c>
      <c r="H14" s="39" t="n">
        <f aca="false">F14</f>
        <v>0.55</v>
      </c>
      <c r="I14" s="39" t="n">
        <f aca="false">H14</f>
        <v>0.55</v>
      </c>
      <c r="J14" s="39" t="n">
        <f aca="false">I14</f>
        <v>0.55</v>
      </c>
      <c r="K14" s="39" t="n">
        <f aca="false">I14</f>
        <v>0.55</v>
      </c>
      <c r="N14" s="39" t="n">
        <f aca="false">H14</f>
        <v>0.55</v>
      </c>
      <c r="O14" s="39" t="n">
        <f aca="false">I14</f>
        <v>0.55</v>
      </c>
      <c r="P14" s="39" t="n">
        <f aca="false">J14</f>
        <v>0.55</v>
      </c>
      <c r="Q14" s="39" t="n">
        <f aca="false">K14</f>
        <v>0.55</v>
      </c>
    </row>
    <row r="15" customFormat="false" ht="15" hidden="false" customHeight="false" outlineLevel="0" collapsed="false">
      <c r="A15" s="4" t="s">
        <v>247</v>
      </c>
      <c r="B15" s="8" t="s">
        <v>319</v>
      </c>
      <c r="C15" s="8" t="s">
        <v>306</v>
      </c>
      <c r="D15" s="22" t="n">
        <v>2028</v>
      </c>
      <c r="E15" s="25" t="n">
        <v>0.45</v>
      </c>
      <c r="F15" s="25" t="n">
        <v>0.65</v>
      </c>
      <c r="G15" s="25" t="n">
        <v>0.8</v>
      </c>
      <c r="H15" s="39" t="n">
        <f aca="false">F15</f>
        <v>0.65</v>
      </c>
      <c r="I15" s="39" t="n">
        <f aca="false">H15</f>
        <v>0.65</v>
      </c>
      <c r="J15" s="39" t="n">
        <f aca="false">I15</f>
        <v>0.65</v>
      </c>
      <c r="K15" s="39" t="n">
        <f aca="false">I15</f>
        <v>0.65</v>
      </c>
      <c r="N15" s="39" t="n">
        <f aca="false">H15</f>
        <v>0.65</v>
      </c>
      <c r="O15" s="39" t="n">
        <f aca="false">I15</f>
        <v>0.65</v>
      </c>
      <c r="P15" s="39" t="n">
        <f aca="false">J15</f>
        <v>0.65</v>
      </c>
      <c r="Q15" s="39" t="n">
        <f aca="false">K15</f>
        <v>0.65</v>
      </c>
    </row>
    <row r="16" customFormat="false" ht="15" hidden="false" customHeight="false" outlineLevel="0" collapsed="false">
      <c r="A16" s="4" t="s">
        <v>249</v>
      </c>
      <c r="B16" s="8" t="s">
        <v>320</v>
      </c>
      <c r="C16" s="8" t="s">
        <v>245</v>
      </c>
      <c r="D16" s="22" t="n">
        <v>2029</v>
      </c>
      <c r="E16" s="25" t="n">
        <v>0.3</v>
      </c>
      <c r="F16" s="25" t="n">
        <v>0.45</v>
      </c>
      <c r="G16" s="25" t="n">
        <v>0.6</v>
      </c>
      <c r="H16" s="39" t="n">
        <f aca="false">F16</f>
        <v>0.45</v>
      </c>
      <c r="I16" s="39" t="n">
        <f aca="false">H16</f>
        <v>0.45</v>
      </c>
      <c r="J16" s="39" t="n">
        <f aca="false">I16</f>
        <v>0.45</v>
      </c>
      <c r="K16" s="39" t="n">
        <f aca="false">I16</f>
        <v>0.45</v>
      </c>
      <c r="N16" s="39" t="n">
        <f aca="false">H14*H16</f>
        <v>0.2475</v>
      </c>
      <c r="O16" s="39" t="n">
        <f aca="false">I14*I16</f>
        <v>0.2475</v>
      </c>
      <c r="P16" s="39" t="n">
        <f aca="false">J14*J16</f>
        <v>0.2475</v>
      </c>
      <c r="Q16" s="39" t="n">
        <f aca="false">K14*K16</f>
        <v>0.2475</v>
      </c>
    </row>
    <row r="17" customFormat="false" ht="15" hidden="false" customHeight="false" outlineLevel="0" collapsed="false">
      <c r="A17" s="4" t="s">
        <v>251</v>
      </c>
      <c r="B17" s="8" t="s">
        <v>321</v>
      </c>
      <c r="C17" s="8" t="s">
        <v>322</v>
      </c>
      <c r="D17" s="22" t="n">
        <v>2032</v>
      </c>
      <c r="E17" s="25" t="n">
        <v>0.03</v>
      </c>
      <c r="F17" s="25" t="n">
        <v>0.08</v>
      </c>
      <c r="G17" s="25" t="n">
        <v>0.15</v>
      </c>
      <c r="H17" s="39" t="n">
        <f aca="false">F17</f>
        <v>0.08</v>
      </c>
      <c r="I17" s="30" t="n">
        <v>0</v>
      </c>
      <c r="J17" s="39" t="n">
        <f aca="false">I17</f>
        <v>0</v>
      </c>
      <c r="K17" s="39" t="n">
        <f aca="false">I17</f>
        <v>0</v>
      </c>
      <c r="N17" s="39" t="n">
        <f aca="false">H5*H6*H7*H10*H17</f>
        <v>0.026208</v>
      </c>
      <c r="O17" s="39" t="n">
        <f aca="false">I5*I6*I7*I10*I17</f>
        <v>0</v>
      </c>
      <c r="P17" s="39" t="n">
        <f aca="false">J5*J6*J7*J10*J17</f>
        <v>0</v>
      </c>
      <c r="Q17" s="39" t="n">
        <f aca="false">K5*K6*K7*K10*K17</f>
        <v>0</v>
      </c>
    </row>
    <row r="19" customFormat="false" ht="15" hidden="false" customHeight="false" outlineLevel="0" collapsed="false">
      <c r="A19" s="3" t="s">
        <v>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"/>
    <col collapsed="false" customWidth="true" hidden="false" outlineLevel="0" max="14" min="3" style="0" width="9.51"/>
    <col collapsed="false" customWidth="true" hidden="false" outlineLevel="0" max="15" min="15" style="0" width="2"/>
    <col collapsed="false" customWidth="true" hidden="false" outlineLevel="0" max="16" min="16" style="0" width="30"/>
    <col collapsed="false" customWidth="true" hidden="false" outlineLevel="0" max="17" min="17" style="0" width="11"/>
  </cols>
  <sheetData>
    <row r="1" customFormat="false" ht="24" hidden="false" customHeight="true" outlineLevel="0" collapsed="false">
      <c r="A1" s="1" t="s">
        <v>324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325</v>
      </c>
    </row>
    <row r="4" customFormat="false" ht="15" hidden="false" customHeight="false" outlineLevel="0" collapsed="false">
      <c r="A4" s="4" t="s">
        <v>297</v>
      </c>
      <c r="C4" s="36" t="n">
        <v>2026</v>
      </c>
      <c r="D4" s="36" t="n">
        <v>2027</v>
      </c>
      <c r="E4" s="36" t="n">
        <v>2028</v>
      </c>
      <c r="F4" s="36" t="n">
        <v>2029</v>
      </c>
      <c r="G4" s="36" t="n">
        <v>2030</v>
      </c>
      <c r="H4" s="36" t="n">
        <v>2031</v>
      </c>
      <c r="I4" s="36" t="n">
        <v>2032</v>
      </c>
      <c r="J4" s="36" t="n">
        <v>2033</v>
      </c>
      <c r="K4" s="36" t="n">
        <v>2034</v>
      </c>
      <c r="L4" s="36" t="n">
        <v>2035</v>
      </c>
      <c r="M4" s="36" t="n">
        <v>2036</v>
      </c>
      <c r="N4" s="36" t="n">
        <v>2037</v>
      </c>
    </row>
    <row r="6" customFormat="false" ht="15" hidden="false" customHeight="false" outlineLevel="0" collapsed="false">
      <c r="A6" s="6" t="s">
        <v>326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customFormat="false" ht="15" hidden="false" customHeight="false" outlineLevel="0" collapsed="false">
      <c r="A7" s="8" t="s">
        <v>327</v>
      </c>
      <c r="C7" s="10" t="n">
        <f aca="false">Input!$E$57</f>
        <v>3.6</v>
      </c>
      <c r="D7" s="15" t="n">
        <f aca="false">C7*(1+((Input!$F$57/$C7)^(1/10)-1))</f>
        <v>4.0606015428198</v>
      </c>
      <c r="E7" s="15" t="n">
        <f aca="false">D7*(1+((Input!$F$57/$C7)^(1/10)-1))</f>
        <v>4.58013469154181</v>
      </c>
      <c r="F7" s="15" t="n">
        <f aca="false">E7*(1+((Input!$F$57/$C7)^(1/10)-1))</f>
        <v>5.16613944299921</v>
      </c>
      <c r="G7" s="15" t="n">
        <f aca="false">F7*(1+((Input!$F$57/$C7)^(1/10)-1))</f>
        <v>5.82712049796244</v>
      </c>
      <c r="H7" s="15" t="n">
        <f aca="false">G7*(1+((Input!$F$57/$C7)^(1/10)-1))</f>
        <v>6.57267069006199</v>
      </c>
      <c r="I7" s="15" t="n">
        <f aca="false">H7*(1+((Input!$F$57/$C7)^(1/10)-1))</f>
        <v>7.41361020680894</v>
      </c>
      <c r="J7" s="15" t="n">
        <f aca="false">I7*(1+((Input!$F$57/$C7)^(1/10)-1))</f>
        <v>8.36214362323138</v>
      </c>
      <c r="K7" s="15" t="n">
        <f aca="false">J7*(1+((Input!$F$57/$C7)^(1/10)-1))</f>
        <v>9.43203702715947</v>
      </c>
      <c r="L7" s="15" t="n">
        <f aca="false">K7*(1+((Input!$F$57/$C7)^(1/10)-1))</f>
        <v>10.6388178067826</v>
      </c>
      <c r="M7" s="15" t="n">
        <f aca="false">L7*(1+((Input!$F$57/$C7)^(1/10)-1))</f>
        <v>12</v>
      </c>
      <c r="N7" s="15" t="n">
        <f aca="false">M7*(1+Input!$B$12)</f>
        <v>12.498</v>
      </c>
      <c r="P7" s="3" t="s">
        <v>328</v>
      </c>
      <c r="Q7" s="37" t="n">
        <f aca="false">N7*Input!$I$57*(1-Input!$B$9)</f>
        <v>1.974684</v>
      </c>
    </row>
    <row r="8" customFormat="false" ht="15" hidden="false" customHeight="false" outlineLevel="0" collapsed="false">
      <c r="A8" s="8" t="s">
        <v>329</v>
      </c>
      <c r="D8" s="39" t="n">
        <f aca="false">IF(D$4&lt;=2027,Input!$H$57,IF(D$4&gt;=(2027+4),Input!$I$57,Input!$H$57+(Input!$I$57-Input!$H$57)*(D$4-2027)/(((2027+4))-(2027))))</f>
        <v>0.1</v>
      </c>
      <c r="E8" s="39" t="n">
        <f aca="false">IF(E$4&lt;=2027,Input!$H$57,IF(E$4&gt;=(2027+4),Input!$I$57,Input!$H$57+(Input!$I$57-Input!$H$57)*(E$4-2027)/(((2027+4))-(2027))))</f>
        <v>0.125</v>
      </c>
      <c r="F8" s="39" t="n">
        <f aca="false">IF(F$4&lt;=2027,Input!$H$57,IF(F$4&gt;=(2027+4),Input!$I$57,Input!$H$57+(Input!$I$57-Input!$H$57)*(F$4-2027)/(((2027+4))-(2027))))</f>
        <v>0.15</v>
      </c>
      <c r="G8" s="39" t="n">
        <f aca="false">IF(G$4&lt;=2027,Input!$H$57,IF(G$4&gt;=(2027+4),Input!$I$57,Input!$H$57+(Input!$I$57-Input!$H$57)*(G$4-2027)/(((2027+4))-(2027))))</f>
        <v>0.175</v>
      </c>
      <c r="H8" s="39" t="n">
        <f aca="false">IF(H$4&lt;=2027,Input!$H$57,IF(H$4&gt;=(2027+4),Input!$I$57,Input!$H$57+(Input!$I$57-Input!$H$57)*(H$4-2027)/(((2027+4))-(2027))))</f>
        <v>0.2</v>
      </c>
      <c r="I8" s="39" t="n">
        <f aca="false">IF(I$4&lt;=2027,Input!$H$57,IF(I$4&gt;=(2027+4),Input!$I$57,Input!$H$57+(Input!$I$57-Input!$H$57)*(I$4-2027)/(((2027+4))-(2027))))</f>
        <v>0.2</v>
      </c>
      <c r="J8" s="39" t="n">
        <f aca="false">IF(J$4&lt;=2027,Input!$H$57,IF(J$4&gt;=(2027+4),Input!$I$57,Input!$H$57+(Input!$I$57-Input!$H$57)*(J$4-2027)/(((2027+4))-(2027))))</f>
        <v>0.2</v>
      </c>
      <c r="K8" s="39" t="n">
        <f aca="false">IF(K$4&lt;=2027,Input!$H$57,IF(K$4&gt;=(2027+4),Input!$I$57,Input!$H$57+(Input!$I$57-Input!$H$57)*(K$4-2027)/(((2027+4))-(2027))))</f>
        <v>0.2</v>
      </c>
      <c r="L8" s="39" t="n">
        <f aca="false">IF(L$4&lt;=2027,Input!$H$57,IF(L$4&gt;=(2027+4),Input!$I$57,Input!$H$57+(Input!$I$57-Input!$H$57)*(L$4-2027)/(((2027+4))-(2027))))</f>
        <v>0.2</v>
      </c>
      <c r="M8" s="39" t="n">
        <f aca="false">IF(M$4&lt;=2027,Input!$H$57,IF(M$4&gt;=(2027+4),Input!$I$57,Input!$H$57+(Input!$I$57-Input!$H$57)*(M$4-2027)/(((2027+4))-(2027))))</f>
        <v>0.2</v>
      </c>
      <c r="P8" s="3" t="s">
        <v>330</v>
      </c>
      <c r="Q8" s="37" t="n">
        <f aca="false">Q7*(1-Input!$B$12/Input!$K$57)</f>
        <v>1.42835476</v>
      </c>
    </row>
    <row r="9" customFormat="false" ht="15" hidden="false" customHeight="false" outlineLevel="0" collapsed="false">
      <c r="A9" s="8" t="s">
        <v>331</v>
      </c>
      <c r="D9" s="37" t="n">
        <f aca="false">D7*D8</f>
        <v>0.40606015428198</v>
      </c>
      <c r="E9" s="37" t="n">
        <f aca="false">E7*E8</f>
        <v>0.572516836442726</v>
      </c>
      <c r="F9" s="37" t="n">
        <f aca="false">F7*F8</f>
        <v>0.774920916449882</v>
      </c>
      <c r="G9" s="37" t="n">
        <f aca="false">G7*G8</f>
        <v>1.01974608714343</v>
      </c>
      <c r="H9" s="37" t="n">
        <f aca="false">H7*H8</f>
        <v>1.3145341380124</v>
      </c>
      <c r="I9" s="37" t="n">
        <f aca="false">I7*I8</f>
        <v>1.48272204136179</v>
      </c>
      <c r="J9" s="37" t="n">
        <f aca="false">J7*J8</f>
        <v>1.67242872464628</v>
      </c>
      <c r="K9" s="37" t="n">
        <f aca="false">K7*K8</f>
        <v>1.88640740543189</v>
      </c>
      <c r="L9" s="37" t="n">
        <f aca="false">L7*L8</f>
        <v>2.12776356135651</v>
      </c>
      <c r="M9" s="37" t="n">
        <f aca="false">M7*M8</f>
        <v>2.4</v>
      </c>
      <c r="P9" s="3" t="s">
        <v>332</v>
      </c>
      <c r="Q9" s="15" t="n">
        <f aca="false">Q8/(Tassi!$B$14-Input!$B$12)</f>
        <v>30.8500614472169</v>
      </c>
    </row>
    <row r="10" customFormat="false" ht="15" hidden="false" customHeight="false" outlineLevel="0" collapsed="false">
      <c r="A10" s="8" t="s">
        <v>333</v>
      </c>
      <c r="D10" s="37" t="n">
        <f aca="false">(E7-D7)/Input!$J$57</f>
        <v>0.37109510623001</v>
      </c>
      <c r="E10" s="37" t="n">
        <f aca="false">(F7-E7)/Input!$J$57</f>
        <v>0.41857482246957</v>
      </c>
      <c r="F10" s="37" t="n">
        <f aca="false">(G7-F7)/Input!$J$57</f>
        <v>0.472129324973739</v>
      </c>
      <c r="G10" s="37" t="n">
        <f aca="false">(H7-G7)/Input!$J$57</f>
        <v>0.532535851499676</v>
      </c>
      <c r="H10" s="37" t="n">
        <f aca="false">(I7-H7)/Input!$J$57</f>
        <v>0.600671083390678</v>
      </c>
      <c r="I10" s="37" t="n">
        <f aca="false">(J7-I7)/Input!$J$57</f>
        <v>0.677523868873174</v>
      </c>
      <c r="J10" s="37" t="n">
        <f aca="false">(K7-J7)/Input!$J$57</f>
        <v>0.764209574234346</v>
      </c>
      <c r="K10" s="37" t="n">
        <f aca="false">(L7-K7)/Input!$J$57</f>
        <v>0.861986271159346</v>
      </c>
      <c r="L10" s="37" t="n">
        <f aca="false">(M7-L7)/Input!$J$57</f>
        <v>0.972272995155313</v>
      </c>
      <c r="M10" s="37" t="n">
        <f aca="false">(N7-M7)/Input!$J$57</f>
        <v>0.355714285714287</v>
      </c>
      <c r="P10" s="3" t="s">
        <v>334</v>
      </c>
      <c r="Q10" s="15" t="n">
        <f aca="false">SUMPRODUCT($D11:$M11,Tassi!$D$23:$M$23)+Q9*Tassi!$M$23</f>
        <v>14.4462007324475</v>
      </c>
    </row>
    <row r="11" customFormat="false" ht="15" hidden="false" customHeight="false" outlineLevel="0" collapsed="false">
      <c r="A11" s="8" t="s">
        <v>335</v>
      </c>
      <c r="D11" s="37" t="n">
        <f aca="false">D9*(1-Input!$B$9)-D10</f>
        <v>-0.0503075843472456</v>
      </c>
      <c r="E11" s="37" t="n">
        <f aca="false">E9*(1-Input!$B$9)-E10</f>
        <v>0.0337134783201834</v>
      </c>
      <c r="F11" s="37" t="n">
        <f aca="false">F9*(1-Input!$B$9)-F10</f>
        <v>0.140058199021668</v>
      </c>
      <c r="G11" s="37" t="n">
        <f aca="false">G9*(1-Input!$B$9)-G10</f>
        <v>0.273063557343632</v>
      </c>
      <c r="H11" s="37" t="n">
        <f aca="false">H9*(1-Input!$B$9)-H10</f>
        <v>0.437810885639117</v>
      </c>
      <c r="I11" s="37" t="n">
        <f aca="false">I9*(1-Input!$B$9)-I10</f>
        <v>0.493826543802639</v>
      </c>
      <c r="J11" s="37" t="n">
        <f aca="false">J9*(1-Input!$B$9)-J10</f>
        <v>0.557009118236213</v>
      </c>
      <c r="K11" s="37" t="n">
        <f aca="false">K9*(1-Input!$B$9)-K10</f>
        <v>0.62827557913185</v>
      </c>
      <c r="L11" s="37" t="n">
        <f aca="false">L9*(1-Input!$B$9)-L10</f>
        <v>0.70866021831633</v>
      </c>
      <c r="M11" s="37" t="n">
        <f aca="false">M9*(1-Input!$B$9)-M10</f>
        <v>1.54028571428571</v>
      </c>
      <c r="P11" s="3" t="s">
        <v>336</v>
      </c>
      <c r="Q11" s="15" t="n">
        <f aca="false">SUMPRODUCT($D11:$M11,Tassi!$D$26:$M$26)+Q9*Tassi!$M$26</f>
        <v>15.0507888896885</v>
      </c>
    </row>
    <row r="15" customFormat="false" ht="15" hidden="false" customHeight="false" outlineLevel="0" collapsed="false">
      <c r="A15" s="6" t="s">
        <v>337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customFormat="false" ht="15" hidden="false" customHeight="false" outlineLevel="0" collapsed="false">
      <c r="A16" s="8" t="s">
        <v>327</v>
      </c>
      <c r="C16" s="15" t="n">
        <f aca="false">IF(C$4&lt;Input!$D$58,0,IF(C$4&lt;=Input!$D$58,Input!$E$58,IF(C$4&gt;=2036,Input!$F$58,Input!$E$58+(Input!$F$58-Input!$E$58)*(C$4-Input!$D$58)/((2036)-(Input!$D$58)))))</f>
        <v>0</v>
      </c>
      <c r="D16" s="15" t="n">
        <f aca="false">IF(D$4&lt;Input!$D$58,0,IF(D$4&lt;=Input!$D$58,Input!$E$58,IF(D$4&gt;=2036,Input!$F$58,Input!$E$58+(Input!$F$58-Input!$E$58)*(D$4-Input!$D$58)/((2036)-(Input!$D$58)))))</f>
        <v>0</v>
      </c>
      <c r="E16" s="15" t="n">
        <f aca="false">IF(E$4&lt;Input!$D$58,0,IF(E$4&lt;=Input!$D$58,Input!$E$58,IF(E$4&gt;=2036,Input!$F$58,Input!$E$58+(Input!$F$58-Input!$E$58)*(E$4-Input!$D$58)/((2036)-(Input!$D$58)))))</f>
        <v>0.666666666666667</v>
      </c>
      <c r="F16" s="15" t="n">
        <f aca="false">IF(F$4&lt;Input!$D$58,0,IF(F$4&lt;=Input!$D$58,Input!$E$58,IF(F$4&gt;=2036,Input!$F$58,Input!$E$58+(Input!$F$58-Input!$E$58)*(F$4-Input!$D$58)/((2036)-(Input!$D$58)))))</f>
        <v>1.33333333333333</v>
      </c>
      <c r="G16" s="15" t="n">
        <f aca="false">IF(G$4&lt;Input!$D$58,0,IF(G$4&lt;=Input!$D$58,Input!$E$58,IF(G$4&gt;=2036,Input!$F$58,Input!$E$58+(Input!$F$58-Input!$E$58)*(G$4-Input!$D$58)/((2036)-(Input!$D$58)))))</f>
        <v>2</v>
      </c>
      <c r="H16" s="15" t="n">
        <f aca="false">IF(H$4&lt;Input!$D$58,0,IF(H$4&lt;=Input!$D$58,Input!$E$58,IF(H$4&gt;=2036,Input!$F$58,Input!$E$58+(Input!$F$58-Input!$E$58)*(H$4-Input!$D$58)/((2036)-(Input!$D$58)))))</f>
        <v>2.66666666666667</v>
      </c>
      <c r="I16" s="15" t="n">
        <f aca="false">IF(I$4&lt;Input!$D$58,0,IF(I$4&lt;=Input!$D$58,Input!$E$58,IF(I$4&gt;=2036,Input!$F$58,Input!$E$58+(Input!$F$58-Input!$E$58)*(I$4-Input!$D$58)/((2036)-(Input!$D$58)))))</f>
        <v>3.33333333333333</v>
      </c>
      <c r="J16" s="15" t="n">
        <f aca="false">IF(J$4&lt;Input!$D$58,0,IF(J$4&lt;=Input!$D$58,Input!$E$58,IF(J$4&gt;=2036,Input!$F$58,Input!$E$58+(Input!$F$58-Input!$E$58)*(J$4-Input!$D$58)/((2036)-(Input!$D$58)))))</f>
        <v>4</v>
      </c>
      <c r="K16" s="15" t="n">
        <f aca="false">IF(K$4&lt;Input!$D$58,0,IF(K$4&lt;=Input!$D$58,Input!$E$58,IF(K$4&gt;=2036,Input!$F$58,Input!$E$58+(Input!$F$58-Input!$E$58)*(K$4-Input!$D$58)/((2036)-(Input!$D$58)))))</f>
        <v>4.66666666666667</v>
      </c>
      <c r="L16" s="15" t="n">
        <f aca="false">IF(L$4&lt;Input!$D$58,0,IF(L$4&lt;=Input!$D$58,Input!$E$58,IF(L$4&gt;=2036,Input!$F$58,Input!$E$58+(Input!$F$58-Input!$E$58)*(L$4-Input!$D$58)/((2036)-(Input!$D$58)))))</f>
        <v>5.33333333333333</v>
      </c>
      <c r="M16" s="15" t="n">
        <f aca="false">IF(M$4&lt;Input!$D$58,0,IF(M$4&lt;=Input!$D$58,Input!$E$58,IF(M$4&gt;=2036,Input!$F$58,Input!$E$58+(Input!$F$58-Input!$E$58)*(M$4-Input!$D$58)/((2036)-(Input!$D$58)))))</f>
        <v>6</v>
      </c>
      <c r="N16" s="15" t="n">
        <f aca="false">M16*(1+Input!$B$12)</f>
        <v>6.249</v>
      </c>
      <c r="P16" s="3" t="s">
        <v>328</v>
      </c>
      <c r="Q16" s="37" t="n">
        <f aca="false">N16*Input!$I$58*(1-Input!$B$9)</f>
        <v>0.987342</v>
      </c>
    </row>
    <row r="17" customFormat="false" ht="15" hidden="false" customHeight="false" outlineLevel="0" collapsed="false">
      <c r="A17" s="8" t="s">
        <v>329</v>
      </c>
      <c r="D17" s="39" t="n">
        <f aca="false">IF(D$4&lt;=Input!$D$58,Input!$H$58,IF(D$4&gt;=(Input!$D$58+4),Input!$I$58,Input!$H$58+(Input!$I$58-Input!$H$58)*(D$4-Input!$D$58)/(((Input!$D$58+4))-(Input!$D$58))))</f>
        <v>0</v>
      </c>
      <c r="E17" s="39" t="n">
        <f aca="false">IF(E$4&lt;=Input!$D$58,Input!$H$58,IF(E$4&gt;=(Input!$D$58+4),Input!$I$58,Input!$H$58+(Input!$I$58-Input!$H$58)*(E$4-Input!$D$58)/(((Input!$D$58+4))-(Input!$D$58))))</f>
        <v>0.05</v>
      </c>
      <c r="F17" s="39" t="n">
        <f aca="false">IF(F$4&lt;=Input!$D$58,Input!$H$58,IF(F$4&gt;=(Input!$D$58+4),Input!$I$58,Input!$H$58+(Input!$I$58-Input!$H$58)*(F$4-Input!$D$58)/(((Input!$D$58+4))-(Input!$D$58))))</f>
        <v>0.1</v>
      </c>
      <c r="G17" s="39" t="n">
        <f aca="false">IF(G$4&lt;=Input!$D$58,Input!$H$58,IF(G$4&gt;=(Input!$D$58+4),Input!$I$58,Input!$H$58+(Input!$I$58-Input!$H$58)*(G$4-Input!$D$58)/(((Input!$D$58+4))-(Input!$D$58))))</f>
        <v>0.15</v>
      </c>
      <c r="H17" s="39" t="n">
        <f aca="false">IF(H$4&lt;=Input!$D$58,Input!$H$58,IF(H$4&gt;=(Input!$D$58+4),Input!$I$58,Input!$H$58+(Input!$I$58-Input!$H$58)*(H$4-Input!$D$58)/(((Input!$D$58+4))-(Input!$D$58))))</f>
        <v>0.2</v>
      </c>
      <c r="I17" s="39" t="n">
        <f aca="false">IF(I$4&lt;=Input!$D$58,Input!$H$58,IF(I$4&gt;=(Input!$D$58+4),Input!$I$58,Input!$H$58+(Input!$I$58-Input!$H$58)*(I$4-Input!$D$58)/(((Input!$D$58+4))-(Input!$D$58))))</f>
        <v>0.2</v>
      </c>
      <c r="J17" s="39" t="n">
        <f aca="false">IF(J$4&lt;=Input!$D$58,Input!$H$58,IF(J$4&gt;=(Input!$D$58+4),Input!$I$58,Input!$H$58+(Input!$I$58-Input!$H$58)*(J$4-Input!$D$58)/(((Input!$D$58+4))-(Input!$D$58))))</f>
        <v>0.2</v>
      </c>
      <c r="K17" s="39" t="n">
        <f aca="false">IF(K$4&lt;=Input!$D$58,Input!$H$58,IF(K$4&gt;=(Input!$D$58+4),Input!$I$58,Input!$H$58+(Input!$I$58-Input!$H$58)*(K$4-Input!$D$58)/(((Input!$D$58+4))-(Input!$D$58))))</f>
        <v>0.2</v>
      </c>
      <c r="L17" s="39" t="n">
        <f aca="false">IF(L$4&lt;=Input!$D$58,Input!$H$58,IF(L$4&gt;=(Input!$D$58+4),Input!$I$58,Input!$H$58+(Input!$I$58-Input!$H$58)*(L$4-Input!$D$58)/(((Input!$D$58+4))-(Input!$D$58))))</f>
        <v>0.2</v>
      </c>
      <c r="M17" s="39" t="n">
        <f aca="false">IF(M$4&lt;=Input!$D$58,Input!$H$58,IF(M$4&gt;=(Input!$D$58+4),Input!$I$58,Input!$H$58+(Input!$I$58-Input!$H$58)*(M$4-Input!$D$58)/(((Input!$D$58+4))-(Input!$D$58))))</f>
        <v>0.2</v>
      </c>
      <c r="P17" s="3" t="s">
        <v>330</v>
      </c>
      <c r="Q17" s="37" t="n">
        <f aca="false">Q16*(1-Input!$B$12/Input!$K$58)</f>
        <v>0.71417738</v>
      </c>
    </row>
    <row r="18" customFormat="false" ht="15" hidden="false" customHeight="false" outlineLevel="0" collapsed="false">
      <c r="A18" s="8" t="s">
        <v>331</v>
      </c>
      <c r="D18" s="37" t="n">
        <f aca="false">D16*D17</f>
        <v>0</v>
      </c>
      <c r="E18" s="37" t="n">
        <f aca="false">E16*E17</f>
        <v>0.0333333333333333</v>
      </c>
      <c r="F18" s="37" t="n">
        <f aca="false">F16*F17</f>
        <v>0.133333333333333</v>
      </c>
      <c r="G18" s="37" t="n">
        <f aca="false">G16*G17</f>
        <v>0.3</v>
      </c>
      <c r="H18" s="37" t="n">
        <f aca="false">H16*H17</f>
        <v>0.533333333333333</v>
      </c>
      <c r="I18" s="37" t="n">
        <f aca="false">I16*I17</f>
        <v>0.666666666666667</v>
      </c>
      <c r="J18" s="37" t="n">
        <f aca="false">J16*J17</f>
        <v>0.8</v>
      </c>
      <c r="K18" s="37" t="n">
        <f aca="false">K16*K17</f>
        <v>0.933333333333334</v>
      </c>
      <c r="L18" s="37" t="n">
        <f aca="false">L16*L17</f>
        <v>1.06666666666667</v>
      </c>
      <c r="M18" s="37" t="n">
        <f aca="false">M16*M17</f>
        <v>1.2</v>
      </c>
      <c r="P18" s="3" t="s">
        <v>332</v>
      </c>
      <c r="Q18" s="15" t="n">
        <f aca="false">Q17/(Tassi!$B$14-Input!$B$12)</f>
        <v>15.4250307236085</v>
      </c>
    </row>
    <row r="19" customFormat="false" ht="15" hidden="false" customHeight="false" outlineLevel="0" collapsed="false">
      <c r="A19" s="8" t="s">
        <v>333</v>
      </c>
      <c r="D19" s="37" t="n">
        <f aca="false">(E16-D16)/Input!$J$58</f>
        <v>0.666666666666667</v>
      </c>
      <c r="E19" s="37" t="n">
        <f aca="false">(F16-E16)/Input!$J$58</f>
        <v>0.666666666666667</v>
      </c>
      <c r="F19" s="37" t="n">
        <f aca="false">(G16-F16)/Input!$J$58</f>
        <v>0.666666666666667</v>
      </c>
      <c r="G19" s="37" t="n">
        <f aca="false">(H16-G16)/Input!$J$58</f>
        <v>0.666666666666667</v>
      </c>
      <c r="H19" s="37" t="n">
        <f aca="false">(I16-H16)/Input!$J$58</f>
        <v>0.666666666666667</v>
      </c>
      <c r="I19" s="37" t="n">
        <f aca="false">(J16-I16)/Input!$J$58</f>
        <v>0.666666666666667</v>
      </c>
      <c r="J19" s="37" t="n">
        <f aca="false">(K16-J16)/Input!$J$58</f>
        <v>0.666666666666667</v>
      </c>
      <c r="K19" s="37" t="n">
        <f aca="false">(L16-K16)/Input!$J$58</f>
        <v>0.666666666666666</v>
      </c>
      <c r="L19" s="37" t="n">
        <f aca="false">(M16-L16)/Input!$J$58</f>
        <v>0.666666666666667</v>
      </c>
      <c r="M19" s="37" t="n">
        <f aca="false">(N16-M16)/Input!$J$58</f>
        <v>0.249000000000001</v>
      </c>
      <c r="P19" s="3" t="s">
        <v>334</v>
      </c>
      <c r="Q19" s="15" t="n">
        <f aca="false">SUMPRODUCT($D20:$M20,Tassi!$D$23:$M$23)+Q18*Tassi!$M$23</f>
        <v>4.46890984102906</v>
      </c>
    </row>
    <row r="20" customFormat="false" ht="15" hidden="false" customHeight="false" outlineLevel="0" collapsed="false">
      <c r="A20" s="8" t="s">
        <v>335</v>
      </c>
      <c r="D20" s="37" t="n">
        <f aca="false">D18*(1-Input!$B$9)-D19</f>
        <v>-0.666666666666667</v>
      </c>
      <c r="E20" s="37" t="n">
        <f aca="false">E18*(1-Input!$B$9)-E19</f>
        <v>-0.640333333333333</v>
      </c>
      <c r="F20" s="37" t="n">
        <f aca="false">F18*(1-Input!$B$9)-F19</f>
        <v>-0.561333333333334</v>
      </c>
      <c r="G20" s="37" t="n">
        <f aca="false">G18*(1-Input!$B$9)-G19</f>
        <v>-0.429666666666667</v>
      </c>
      <c r="H20" s="37" t="n">
        <f aca="false">H18*(1-Input!$B$9)-H19</f>
        <v>-0.245333333333334</v>
      </c>
      <c r="I20" s="37" t="n">
        <f aca="false">I18*(1-Input!$B$9)-I19</f>
        <v>-0.14</v>
      </c>
      <c r="J20" s="37" t="n">
        <f aca="false">J18*(1-Input!$B$9)-J19</f>
        <v>-0.0346666666666668</v>
      </c>
      <c r="K20" s="37" t="n">
        <f aca="false">K18*(1-Input!$B$9)-K19</f>
        <v>0.0706666666666674</v>
      </c>
      <c r="L20" s="37" t="n">
        <f aca="false">L18*(1-Input!$B$9)-L19</f>
        <v>0.176</v>
      </c>
      <c r="M20" s="37" t="n">
        <f aca="false">M18*(1-Input!$B$9)-M19</f>
        <v>0.699</v>
      </c>
      <c r="P20" s="3" t="s">
        <v>336</v>
      </c>
      <c r="Q20" s="15" t="n">
        <f aca="false">SUMPRODUCT($D20:$M20,Tassi!$D$26:$M$26)+Q18*Tassi!$M$26</f>
        <v>4.6654073585413</v>
      </c>
    </row>
    <row r="24" customFormat="false" ht="15" hidden="false" customHeight="false" outlineLevel="0" collapsed="false">
      <c r="A24" s="6" t="s">
        <v>338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customFormat="false" ht="15" hidden="false" customHeight="false" outlineLevel="0" collapsed="false">
      <c r="A25" s="8" t="s">
        <v>327</v>
      </c>
      <c r="C25" s="15" t="n">
        <f aca="false">IF(C$4&lt;Input!$D$59,0,IF(C$4&lt;=Input!$D$59,Input!$E$59,IF(C$4&gt;=2036,Input!$F$59,Input!$E$59+(Input!$F$59-Input!$E$59)*(C$4-Input!$D$59)/((2036)-(Input!$D$59)))))</f>
        <v>0</v>
      </c>
      <c r="D25" s="15" t="n">
        <f aca="false">IF(D$4&lt;Input!$D$59,0,IF(D$4&lt;=Input!$D$59,Input!$E$59,IF(D$4&gt;=2036,Input!$F$59,Input!$E$59+(Input!$F$59-Input!$E$59)*(D$4-Input!$D$59)/((2036)-(Input!$D$59)))))</f>
        <v>0</v>
      </c>
      <c r="E25" s="15" t="n">
        <f aca="false">IF(E$4&lt;Input!$D$59,0,IF(E$4&lt;=Input!$D$59,Input!$E$59,IF(E$4&gt;=2036,Input!$F$59,Input!$E$59+(Input!$F$59-Input!$E$59)*(E$4-Input!$D$59)/((2036)-(Input!$D$59)))))</f>
        <v>0</v>
      </c>
      <c r="F25" s="15" t="n">
        <f aca="false">IF(F$4&lt;Input!$D$59,0,IF(F$4&lt;=Input!$D$59,Input!$E$59,IF(F$4&gt;=2036,Input!$F$59,Input!$E$59+(Input!$F$59-Input!$E$59)*(F$4-Input!$D$59)/((2036)-(Input!$D$59)))))</f>
        <v>1</v>
      </c>
      <c r="G25" s="15" t="n">
        <f aca="false">IF(G$4&lt;Input!$D$59,0,IF(G$4&lt;=Input!$D$59,Input!$E$59,IF(G$4&gt;=2036,Input!$F$59,Input!$E$59+(Input!$F$59-Input!$E$59)*(G$4-Input!$D$59)/((2036)-(Input!$D$59)))))</f>
        <v>2</v>
      </c>
      <c r="H25" s="15" t="n">
        <f aca="false">IF(H$4&lt;Input!$D$59,0,IF(H$4&lt;=Input!$D$59,Input!$E$59,IF(H$4&gt;=2036,Input!$F$59,Input!$E$59+(Input!$F$59-Input!$E$59)*(H$4-Input!$D$59)/((2036)-(Input!$D$59)))))</f>
        <v>3</v>
      </c>
      <c r="I25" s="15" t="n">
        <f aca="false">IF(I$4&lt;Input!$D$59,0,IF(I$4&lt;=Input!$D$59,Input!$E$59,IF(I$4&gt;=2036,Input!$F$59,Input!$E$59+(Input!$F$59-Input!$E$59)*(I$4-Input!$D$59)/((2036)-(Input!$D$59)))))</f>
        <v>4</v>
      </c>
      <c r="J25" s="15" t="n">
        <f aca="false">IF(J$4&lt;Input!$D$59,0,IF(J$4&lt;=Input!$D$59,Input!$E$59,IF(J$4&gt;=2036,Input!$F$59,Input!$E$59+(Input!$F$59-Input!$E$59)*(J$4-Input!$D$59)/((2036)-(Input!$D$59)))))</f>
        <v>5</v>
      </c>
      <c r="K25" s="15" t="n">
        <f aca="false">IF(K$4&lt;Input!$D$59,0,IF(K$4&lt;=Input!$D$59,Input!$E$59,IF(K$4&gt;=2036,Input!$F$59,Input!$E$59+(Input!$F$59-Input!$E$59)*(K$4-Input!$D$59)/((2036)-(Input!$D$59)))))</f>
        <v>6</v>
      </c>
      <c r="L25" s="15" t="n">
        <f aca="false">IF(L$4&lt;Input!$D$59,0,IF(L$4&lt;=Input!$D$59,Input!$E$59,IF(L$4&gt;=2036,Input!$F$59,Input!$E$59+(Input!$F$59-Input!$E$59)*(L$4-Input!$D$59)/((2036)-(Input!$D$59)))))</f>
        <v>7</v>
      </c>
      <c r="M25" s="15" t="n">
        <f aca="false">IF(M$4&lt;Input!$D$59,0,IF(M$4&lt;=Input!$D$59,Input!$E$59,IF(M$4&gt;=2036,Input!$F$59,Input!$E$59+(Input!$F$59-Input!$E$59)*(M$4-Input!$D$59)/((2036)-(Input!$D$59)))))</f>
        <v>8</v>
      </c>
      <c r="N25" s="15" t="n">
        <f aca="false">M25*(1+Input!$B$12)</f>
        <v>8.332</v>
      </c>
      <c r="P25" s="3" t="s">
        <v>328</v>
      </c>
      <c r="Q25" s="37" t="n">
        <f aca="false">N25*Input!$I$59*(1-Input!$B$9)</f>
        <v>1.64557</v>
      </c>
    </row>
    <row r="26" customFormat="false" ht="15" hidden="false" customHeight="false" outlineLevel="0" collapsed="false">
      <c r="A26" s="8" t="s">
        <v>329</v>
      </c>
      <c r="D26" s="39" t="n">
        <f aca="false">IF(D$4&lt;=Input!$D$59,Input!$H$59,IF(D$4&gt;=(Input!$D$59+4),Input!$I$59,Input!$H$59+(Input!$I$59-Input!$H$59)*(D$4-Input!$D$59)/(((Input!$D$59+4))-(Input!$D$59))))</f>
        <v>0.1</v>
      </c>
      <c r="E26" s="39" t="n">
        <f aca="false">IF(E$4&lt;=Input!$D$59,Input!$H$59,IF(E$4&gt;=(Input!$D$59+4),Input!$I$59,Input!$H$59+(Input!$I$59-Input!$H$59)*(E$4-Input!$D$59)/(((Input!$D$59+4))-(Input!$D$59))))</f>
        <v>0.1</v>
      </c>
      <c r="F26" s="39" t="n">
        <f aca="false">IF(F$4&lt;=Input!$D$59,Input!$H$59,IF(F$4&gt;=(Input!$D$59+4),Input!$I$59,Input!$H$59+(Input!$I$59-Input!$H$59)*(F$4-Input!$D$59)/(((Input!$D$59+4))-(Input!$D$59))))</f>
        <v>0.1375</v>
      </c>
      <c r="G26" s="39" t="n">
        <f aca="false">IF(G$4&lt;=Input!$D$59,Input!$H$59,IF(G$4&gt;=(Input!$D$59+4),Input!$I$59,Input!$H$59+(Input!$I$59-Input!$H$59)*(G$4-Input!$D$59)/(((Input!$D$59+4))-(Input!$D$59))))</f>
        <v>0.175</v>
      </c>
      <c r="H26" s="39" t="n">
        <f aca="false">IF(H$4&lt;=Input!$D$59,Input!$H$59,IF(H$4&gt;=(Input!$D$59+4),Input!$I$59,Input!$H$59+(Input!$I$59-Input!$H$59)*(H$4-Input!$D$59)/(((Input!$D$59+4))-(Input!$D$59))))</f>
        <v>0.2125</v>
      </c>
      <c r="I26" s="39" t="n">
        <f aca="false">IF(I$4&lt;=Input!$D$59,Input!$H$59,IF(I$4&gt;=(Input!$D$59+4),Input!$I$59,Input!$H$59+(Input!$I$59-Input!$H$59)*(I$4-Input!$D$59)/(((Input!$D$59+4))-(Input!$D$59))))</f>
        <v>0.25</v>
      </c>
      <c r="J26" s="39" t="n">
        <f aca="false">IF(J$4&lt;=Input!$D$59,Input!$H$59,IF(J$4&gt;=(Input!$D$59+4),Input!$I$59,Input!$H$59+(Input!$I$59-Input!$H$59)*(J$4-Input!$D$59)/(((Input!$D$59+4))-(Input!$D$59))))</f>
        <v>0.25</v>
      </c>
      <c r="K26" s="39" t="n">
        <f aca="false">IF(K$4&lt;=Input!$D$59,Input!$H$59,IF(K$4&gt;=(Input!$D$59+4),Input!$I$59,Input!$H$59+(Input!$I$59-Input!$H$59)*(K$4-Input!$D$59)/(((Input!$D$59+4))-(Input!$D$59))))</f>
        <v>0.25</v>
      </c>
      <c r="L26" s="39" t="n">
        <f aca="false">IF(L$4&lt;=Input!$D$59,Input!$H$59,IF(L$4&gt;=(Input!$D$59+4),Input!$I$59,Input!$H$59+(Input!$I$59-Input!$H$59)*(L$4-Input!$D$59)/(((Input!$D$59+4))-(Input!$D$59))))</f>
        <v>0.25</v>
      </c>
      <c r="M26" s="39" t="n">
        <f aca="false">IF(M$4&lt;=Input!$D$59,Input!$H$59,IF(M$4&gt;=(Input!$D$59+4),Input!$I$59,Input!$H$59+(Input!$I$59-Input!$H$59)*(M$4-Input!$D$59)/(((Input!$D$59+4))-(Input!$D$59))))</f>
        <v>0.25</v>
      </c>
      <c r="P26" s="3" t="s">
        <v>330</v>
      </c>
      <c r="Q26" s="37" t="n">
        <f aca="false">Q25*(1-Input!$B$12/Input!$K$59)</f>
        <v>1.19029563333333</v>
      </c>
    </row>
    <row r="27" customFormat="false" ht="15" hidden="false" customHeight="false" outlineLevel="0" collapsed="false">
      <c r="A27" s="8" t="s">
        <v>331</v>
      </c>
      <c r="D27" s="37" t="n">
        <f aca="false">D25*D26</f>
        <v>0</v>
      </c>
      <c r="E27" s="37" t="n">
        <f aca="false">E25*E26</f>
        <v>0</v>
      </c>
      <c r="F27" s="37" t="n">
        <f aca="false">F25*F26</f>
        <v>0.1375</v>
      </c>
      <c r="G27" s="37" t="n">
        <f aca="false">G25*G26</f>
        <v>0.35</v>
      </c>
      <c r="H27" s="37" t="n">
        <f aca="false">H25*H26</f>
        <v>0.6375</v>
      </c>
      <c r="I27" s="37" t="n">
        <f aca="false">I25*I26</f>
        <v>1</v>
      </c>
      <c r="J27" s="37" t="n">
        <f aca="false">J25*J26</f>
        <v>1.25</v>
      </c>
      <c r="K27" s="37" t="n">
        <f aca="false">K25*K26</f>
        <v>1.5</v>
      </c>
      <c r="L27" s="37" t="n">
        <f aca="false">L25*L26</f>
        <v>1.75</v>
      </c>
      <c r="M27" s="37" t="n">
        <f aca="false">M25*M26</f>
        <v>2</v>
      </c>
      <c r="P27" s="3" t="s">
        <v>332</v>
      </c>
      <c r="Q27" s="15" t="n">
        <f aca="false">Q26/(Tassi!$B$14-Input!$B$12)</f>
        <v>25.7083845393475</v>
      </c>
    </row>
    <row r="28" customFormat="false" ht="15" hidden="false" customHeight="false" outlineLevel="0" collapsed="false">
      <c r="A28" s="8" t="s">
        <v>333</v>
      </c>
      <c r="D28" s="37" t="n">
        <f aca="false">(E25-D25)/Input!$J$59</f>
        <v>0</v>
      </c>
      <c r="E28" s="37" t="n">
        <f aca="false">(F25-E25)/Input!$J$59</f>
        <v>1</v>
      </c>
      <c r="F28" s="37" t="n">
        <f aca="false">(G25-F25)/Input!$J$59</f>
        <v>1</v>
      </c>
      <c r="G28" s="37" t="n">
        <f aca="false">(H25-G25)/Input!$J$59</f>
        <v>1</v>
      </c>
      <c r="H28" s="37" t="n">
        <f aca="false">(I25-H25)/Input!$J$59</f>
        <v>1</v>
      </c>
      <c r="I28" s="37" t="n">
        <f aca="false">(J25-I25)/Input!$J$59</f>
        <v>1</v>
      </c>
      <c r="J28" s="37" t="n">
        <f aca="false">(K25-J25)/Input!$J$59</f>
        <v>1</v>
      </c>
      <c r="K28" s="37" t="n">
        <f aca="false">(L25-K25)/Input!$J$59</f>
        <v>1</v>
      </c>
      <c r="L28" s="37" t="n">
        <f aca="false">(M25-L25)/Input!$J$59</f>
        <v>1</v>
      </c>
      <c r="M28" s="37" t="n">
        <f aca="false">(N25-M25)/Input!$J$59</f>
        <v>0.332000000000001</v>
      </c>
      <c r="P28" s="3" t="s">
        <v>334</v>
      </c>
      <c r="Q28" s="15" t="n">
        <f aca="false">SUMPRODUCT($D29:$M29,Tassi!$D$23:$M$23)+Q27*Tassi!$M$23</f>
        <v>8.56736278750956</v>
      </c>
    </row>
    <row r="29" customFormat="false" ht="15" hidden="false" customHeight="false" outlineLevel="0" collapsed="false">
      <c r="A29" s="8" t="s">
        <v>335</v>
      </c>
      <c r="D29" s="37" t="n">
        <f aca="false">D27*(1-Input!$B$9)-D28</f>
        <v>0</v>
      </c>
      <c r="E29" s="37" t="n">
        <f aca="false">E27*(1-Input!$B$9)-E28</f>
        <v>-1</v>
      </c>
      <c r="F29" s="37" t="n">
        <f aca="false">F27*(1-Input!$B$9)-F28</f>
        <v>-0.891375</v>
      </c>
      <c r="G29" s="37" t="n">
        <f aca="false">G27*(1-Input!$B$9)-G28</f>
        <v>-0.7235</v>
      </c>
      <c r="H29" s="37" t="n">
        <f aca="false">H27*(1-Input!$B$9)-H28</f>
        <v>-0.496375</v>
      </c>
      <c r="I29" s="37" t="n">
        <f aca="false">I27*(1-Input!$B$9)-I28</f>
        <v>-0.21</v>
      </c>
      <c r="J29" s="37" t="n">
        <f aca="false">J27*(1-Input!$B$9)-J28</f>
        <v>-0.0125</v>
      </c>
      <c r="K29" s="37" t="n">
        <f aca="false">K27*(1-Input!$B$9)-K28</f>
        <v>0.185</v>
      </c>
      <c r="L29" s="37" t="n">
        <f aca="false">L27*(1-Input!$B$9)-L28</f>
        <v>0.3825</v>
      </c>
      <c r="M29" s="37" t="n">
        <f aca="false">M27*(1-Input!$B$9)-M28</f>
        <v>1.248</v>
      </c>
      <c r="P29" s="3" t="s">
        <v>336</v>
      </c>
      <c r="Q29" s="15" t="n">
        <f aca="false">SUMPRODUCT($D29:$M29,Tassi!$D$26:$M$26)+Q27*Tassi!$M$26</f>
        <v>8.92548171638696</v>
      </c>
    </row>
    <row r="33" customFormat="false" ht="15" hidden="false" customHeight="false" outlineLevel="0" collapsed="false">
      <c r="A33" s="6" t="s">
        <v>339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customFormat="false" ht="15" hidden="false" customHeight="false" outlineLevel="0" collapsed="false">
      <c r="A34" s="8" t="s">
        <v>327</v>
      </c>
      <c r="C34" s="15" t="n">
        <f aca="false">IF(C$4&lt;Input!$D$60,0,IF(C$4&lt;=Input!$D$60,Input!$E$60,IF(C$4&gt;=2036,Input!$F$60,Input!$E$60+(Input!$F$60-Input!$E$60)*(C$4-Input!$D$60)/((2036)-(Input!$D$60)))))</f>
        <v>0</v>
      </c>
      <c r="D34" s="15" t="n">
        <f aca="false">IF(D$4&lt;Input!$D$60,0,IF(D$4&lt;=Input!$D$60,Input!$E$60,IF(D$4&gt;=2036,Input!$F$60,Input!$E$60+(Input!$F$60-Input!$E$60)*(D$4-Input!$D$60)/((2036)-(Input!$D$60)))))</f>
        <v>0</v>
      </c>
      <c r="E34" s="15" t="n">
        <f aca="false">IF(E$4&lt;Input!$D$60,0,IF(E$4&lt;=Input!$D$60,Input!$E$60,IF(E$4&gt;=2036,Input!$F$60,Input!$E$60+(Input!$F$60-Input!$E$60)*(E$4-Input!$D$60)/((2036)-(Input!$D$60)))))</f>
        <v>0</v>
      </c>
      <c r="F34" s="15" t="n">
        <f aca="false">IF(F$4&lt;Input!$D$60,0,IF(F$4&lt;=Input!$D$60,Input!$E$60,IF(F$4&gt;=2036,Input!$F$60,Input!$E$60+(Input!$F$60-Input!$E$60)*(F$4-Input!$D$60)/((2036)-(Input!$D$60)))))</f>
        <v>0</v>
      </c>
      <c r="G34" s="15" t="n">
        <f aca="false">IF(G$4&lt;Input!$D$60,0,IF(G$4&lt;=Input!$D$60,Input!$E$60,IF(G$4&gt;=2036,Input!$F$60,Input!$E$60+(Input!$F$60-Input!$E$60)*(G$4-Input!$D$60)/((2036)-(Input!$D$60)))))</f>
        <v>0.571428571428571</v>
      </c>
      <c r="H34" s="15" t="n">
        <f aca="false">IF(H$4&lt;Input!$D$60,0,IF(H$4&lt;=Input!$D$60,Input!$E$60,IF(H$4&gt;=2036,Input!$F$60,Input!$E$60+(Input!$F$60-Input!$E$60)*(H$4-Input!$D$60)/((2036)-(Input!$D$60)))))</f>
        <v>1.14285714285714</v>
      </c>
      <c r="I34" s="15" t="n">
        <f aca="false">IF(I$4&lt;Input!$D$60,0,IF(I$4&lt;=Input!$D$60,Input!$E$60,IF(I$4&gt;=2036,Input!$F$60,Input!$E$60+(Input!$F$60-Input!$E$60)*(I$4-Input!$D$60)/((2036)-(Input!$D$60)))))</f>
        <v>1.71428571428571</v>
      </c>
      <c r="J34" s="15" t="n">
        <f aca="false">IF(J$4&lt;Input!$D$60,0,IF(J$4&lt;=Input!$D$60,Input!$E$60,IF(J$4&gt;=2036,Input!$F$60,Input!$E$60+(Input!$F$60-Input!$E$60)*(J$4-Input!$D$60)/((2036)-(Input!$D$60)))))</f>
        <v>2.28571428571429</v>
      </c>
      <c r="K34" s="15" t="n">
        <f aca="false">IF(K$4&lt;Input!$D$60,0,IF(K$4&lt;=Input!$D$60,Input!$E$60,IF(K$4&gt;=2036,Input!$F$60,Input!$E$60+(Input!$F$60-Input!$E$60)*(K$4-Input!$D$60)/((2036)-(Input!$D$60)))))</f>
        <v>2.85714285714286</v>
      </c>
      <c r="L34" s="15" t="n">
        <f aca="false">IF(L$4&lt;Input!$D$60,0,IF(L$4&lt;=Input!$D$60,Input!$E$60,IF(L$4&gt;=2036,Input!$F$60,Input!$E$60+(Input!$F$60-Input!$E$60)*(L$4-Input!$D$60)/((2036)-(Input!$D$60)))))</f>
        <v>3.42857142857143</v>
      </c>
      <c r="M34" s="15" t="n">
        <f aca="false">IF(M$4&lt;Input!$D$60,0,IF(M$4&lt;=Input!$D$60,Input!$E$60,IF(M$4&gt;=2036,Input!$F$60,Input!$E$60+(Input!$F$60-Input!$E$60)*(M$4-Input!$D$60)/((2036)-(Input!$D$60)))))</f>
        <v>4</v>
      </c>
      <c r="N34" s="15" t="n">
        <f aca="false">M34*(1+Input!$B$12)</f>
        <v>4.166</v>
      </c>
      <c r="P34" s="3" t="s">
        <v>328</v>
      </c>
      <c r="Q34" s="37" t="n">
        <f aca="false">N34*Input!$I$60*(1-Input!$B$9)</f>
        <v>0.493671</v>
      </c>
    </row>
    <row r="35" customFormat="false" ht="15" hidden="false" customHeight="false" outlineLevel="0" collapsed="false">
      <c r="A35" s="8" t="s">
        <v>329</v>
      </c>
      <c r="D35" s="39" t="n">
        <f aca="false">IF(D$4&lt;=Input!$D$60,Input!$H$60,IF(D$4&gt;=(Input!$D$60+4),Input!$I$60,Input!$H$60+(Input!$I$60-Input!$H$60)*(D$4-Input!$D$60)/(((Input!$D$60+4))-(Input!$D$60))))</f>
        <v>0.1</v>
      </c>
      <c r="E35" s="39" t="n">
        <f aca="false">IF(E$4&lt;=Input!$D$60,Input!$H$60,IF(E$4&gt;=(Input!$D$60+4),Input!$I$60,Input!$H$60+(Input!$I$60-Input!$H$60)*(E$4-Input!$D$60)/(((Input!$D$60+4))-(Input!$D$60))))</f>
        <v>0.1</v>
      </c>
      <c r="F35" s="39" t="n">
        <f aca="false">IF(F$4&lt;=Input!$D$60,Input!$H$60,IF(F$4&gt;=(Input!$D$60+4),Input!$I$60,Input!$H$60+(Input!$I$60-Input!$H$60)*(F$4-Input!$D$60)/(((Input!$D$60+4))-(Input!$D$60))))</f>
        <v>0.1</v>
      </c>
      <c r="G35" s="39" t="n">
        <f aca="false">IF(G$4&lt;=Input!$D$60,Input!$H$60,IF(G$4&gt;=(Input!$D$60+4),Input!$I$60,Input!$H$60+(Input!$I$60-Input!$H$60)*(G$4-Input!$D$60)/(((Input!$D$60+4))-(Input!$D$60))))</f>
        <v>0.1125</v>
      </c>
      <c r="H35" s="39" t="n">
        <f aca="false">IF(H$4&lt;=Input!$D$60,Input!$H$60,IF(H$4&gt;=(Input!$D$60+4),Input!$I$60,Input!$H$60+(Input!$I$60-Input!$H$60)*(H$4-Input!$D$60)/(((Input!$D$60+4))-(Input!$D$60))))</f>
        <v>0.125</v>
      </c>
      <c r="I35" s="39" t="n">
        <f aca="false">IF(I$4&lt;=Input!$D$60,Input!$H$60,IF(I$4&gt;=(Input!$D$60+4),Input!$I$60,Input!$H$60+(Input!$I$60-Input!$H$60)*(I$4-Input!$D$60)/(((Input!$D$60+4))-(Input!$D$60))))</f>
        <v>0.1375</v>
      </c>
      <c r="J35" s="39" t="n">
        <f aca="false">IF(J$4&lt;=Input!$D$60,Input!$H$60,IF(J$4&gt;=(Input!$D$60+4),Input!$I$60,Input!$H$60+(Input!$I$60-Input!$H$60)*(J$4-Input!$D$60)/(((Input!$D$60+4))-(Input!$D$60))))</f>
        <v>0.15</v>
      </c>
      <c r="K35" s="39" t="n">
        <f aca="false">IF(K$4&lt;=Input!$D$60,Input!$H$60,IF(K$4&gt;=(Input!$D$60+4),Input!$I$60,Input!$H$60+(Input!$I$60-Input!$H$60)*(K$4-Input!$D$60)/(((Input!$D$60+4))-(Input!$D$60))))</f>
        <v>0.15</v>
      </c>
      <c r="L35" s="39" t="n">
        <f aca="false">IF(L$4&lt;=Input!$D$60,Input!$H$60,IF(L$4&gt;=(Input!$D$60+4),Input!$I$60,Input!$H$60+(Input!$I$60-Input!$H$60)*(L$4-Input!$D$60)/(((Input!$D$60+4))-(Input!$D$60))))</f>
        <v>0.15</v>
      </c>
      <c r="M35" s="39" t="n">
        <f aca="false">IF(M$4&lt;=Input!$D$60,Input!$H$60,IF(M$4&gt;=(Input!$D$60+4),Input!$I$60,Input!$H$60+(Input!$I$60-Input!$H$60)*(M$4-Input!$D$60)/(((Input!$D$60+4))-(Input!$D$60))))</f>
        <v>0.15</v>
      </c>
      <c r="P35" s="3" t="s">
        <v>330</v>
      </c>
      <c r="Q35" s="37" t="n">
        <f aca="false">Q34*(1-Input!$B$12/Input!$K$60)</f>
        <v>0.3229431125</v>
      </c>
    </row>
    <row r="36" customFormat="false" ht="15" hidden="false" customHeight="false" outlineLevel="0" collapsed="false">
      <c r="A36" s="8" t="s">
        <v>331</v>
      </c>
      <c r="D36" s="37" t="n">
        <f aca="false">D34*D35</f>
        <v>0</v>
      </c>
      <c r="E36" s="37" t="n">
        <f aca="false">E34*E35</f>
        <v>0</v>
      </c>
      <c r="F36" s="37" t="n">
        <f aca="false">F34*F35</f>
        <v>0</v>
      </c>
      <c r="G36" s="37" t="n">
        <f aca="false">G34*G35</f>
        <v>0.0642857142857143</v>
      </c>
      <c r="H36" s="37" t="n">
        <f aca="false">H34*H35</f>
        <v>0.142857142857143</v>
      </c>
      <c r="I36" s="37" t="n">
        <f aca="false">I34*I35</f>
        <v>0.235714285714286</v>
      </c>
      <c r="J36" s="37" t="n">
        <f aca="false">J34*J35</f>
        <v>0.342857142857143</v>
      </c>
      <c r="K36" s="37" t="n">
        <f aca="false">K34*K35</f>
        <v>0.428571428571429</v>
      </c>
      <c r="L36" s="37" t="n">
        <f aca="false">L34*L35</f>
        <v>0.514285714285714</v>
      </c>
      <c r="M36" s="37" t="n">
        <f aca="false">M34*M35</f>
        <v>0.6</v>
      </c>
      <c r="P36" s="3" t="s">
        <v>332</v>
      </c>
      <c r="Q36" s="15" t="n">
        <f aca="false">Q35/(Tassi!$B$14-Input!$B$12)</f>
        <v>6.97502829379761</v>
      </c>
    </row>
    <row r="37" customFormat="false" ht="15" hidden="false" customHeight="false" outlineLevel="0" collapsed="false">
      <c r="A37" s="8" t="s">
        <v>333</v>
      </c>
      <c r="D37" s="37" t="n">
        <f aca="false">(E34-D34)/Input!$J$60</f>
        <v>0</v>
      </c>
      <c r="E37" s="37" t="n">
        <f aca="false">(F34-E34)/Input!$J$60</f>
        <v>0</v>
      </c>
      <c r="F37" s="37" t="n">
        <f aca="false">(G34-F34)/Input!$J$60</f>
        <v>0.285714285714286</v>
      </c>
      <c r="G37" s="37" t="n">
        <f aca="false">(H34-G34)/Input!$J$60</f>
        <v>0.285714285714286</v>
      </c>
      <c r="H37" s="37" t="n">
        <f aca="false">(I34-H34)/Input!$J$60</f>
        <v>0.285714285714286</v>
      </c>
      <c r="I37" s="37" t="n">
        <f aca="false">(J34-I34)/Input!$J$60</f>
        <v>0.285714285714286</v>
      </c>
      <c r="J37" s="37" t="n">
        <f aca="false">(K34-J34)/Input!$J$60</f>
        <v>0.285714285714286</v>
      </c>
      <c r="K37" s="37" t="n">
        <f aca="false">(L34-K34)/Input!$J$60</f>
        <v>0.285714285714286</v>
      </c>
      <c r="L37" s="37" t="n">
        <f aca="false">(M34-L34)/Input!$J$60</f>
        <v>0.285714285714286</v>
      </c>
      <c r="M37" s="37" t="n">
        <f aca="false">(N34-M34)/Input!$J$60</f>
        <v>0.0830000000000002</v>
      </c>
      <c r="P37" s="3" t="s">
        <v>334</v>
      </c>
      <c r="Q37" s="15" t="n">
        <f aca="false">SUMPRODUCT($D38:$M38,Tassi!$D$23:$M$23)+Q36*Tassi!$M$23</f>
        <v>2.45526449203143</v>
      </c>
    </row>
    <row r="38" customFormat="false" ht="15" hidden="false" customHeight="false" outlineLevel="0" collapsed="false">
      <c r="A38" s="8" t="s">
        <v>335</v>
      </c>
      <c r="D38" s="37" t="n">
        <f aca="false">D36*(1-Input!$B$9)-D37</f>
        <v>0</v>
      </c>
      <c r="E38" s="37" t="n">
        <f aca="false">E36*(1-Input!$B$9)-E37</f>
        <v>0</v>
      </c>
      <c r="F38" s="37" t="n">
        <f aca="false">F36*(1-Input!$B$9)-F37</f>
        <v>-0.285714285714286</v>
      </c>
      <c r="G38" s="37" t="n">
        <f aca="false">G36*(1-Input!$B$9)-G37</f>
        <v>-0.234928571428571</v>
      </c>
      <c r="H38" s="37" t="n">
        <f aca="false">H36*(1-Input!$B$9)-H37</f>
        <v>-0.172857142857143</v>
      </c>
      <c r="I38" s="37" t="n">
        <f aca="false">I36*(1-Input!$B$9)-I37</f>
        <v>-0.0995</v>
      </c>
      <c r="J38" s="37" t="n">
        <f aca="false">J36*(1-Input!$B$9)-J37</f>
        <v>-0.014857142857143</v>
      </c>
      <c r="K38" s="37" t="n">
        <f aca="false">K36*(1-Input!$B$9)-K37</f>
        <v>0.052857142857143</v>
      </c>
      <c r="L38" s="37" t="n">
        <f aca="false">L36*(1-Input!$B$9)-L37</f>
        <v>0.120571428571428</v>
      </c>
      <c r="M38" s="37" t="n">
        <f aca="false">M36*(1-Input!$B$9)-M37</f>
        <v>0.391</v>
      </c>
      <c r="P38" s="3" t="s">
        <v>336</v>
      </c>
      <c r="Q38" s="15" t="n">
        <f aca="false">SUMPRODUCT($D38:$M38,Tassi!$D$26:$M$26)+Q36*Tassi!$M$26</f>
        <v>2.55789545465144</v>
      </c>
    </row>
    <row r="42" customFormat="false" ht="15" hidden="false" customHeight="false" outlineLevel="0" collapsed="false">
      <c r="A42" s="6" t="s">
        <v>340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customFormat="false" ht="15" hidden="false" customHeight="false" outlineLevel="0" collapsed="false">
      <c r="A43" s="8" t="s">
        <v>327</v>
      </c>
      <c r="B43" s="3" t="s">
        <v>224</v>
      </c>
      <c r="C43" s="15" t="n">
        <f aca="false">C7+C16+C25</f>
        <v>3.6</v>
      </c>
      <c r="D43" s="15" t="n">
        <f aca="false">D7+D16+D25</f>
        <v>4.0606015428198</v>
      </c>
      <c r="E43" s="15" t="n">
        <f aca="false">E7+E16+E25</f>
        <v>5.24680135820848</v>
      </c>
      <c r="F43" s="15" t="n">
        <f aca="false">F7+F16+F25</f>
        <v>7.49947277633254</v>
      </c>
      <c r="G43" s="15" t="n">
        <f aca="false">G7+G16+G25</f>
        <v>9.82712049796244</v>
      </c>
      <c r="H43" s="15" t="n">
        <f aca="false">H7+H16+H25</f>
        <v>12.2393373567287</v>
      </c>
      <c r="I43" s="15" t="n">
        <f aca="false">I7+I16+I25</f>
        <v>14.7469435401423</v>
      </c>
      <c r="J43" s="15" t="n">
        <f aca="false">J7+J16+J25</f>
        <v>17.3621436232314</v>
      </c>
      <c r="K43" s="15" t="n">
        <f aca="false">K7+K16+K25</f>
        <v>20.0987036938261</v>
      </c>
      <c r="L43" s="15" t="n">
        <f aca="false">L7+L16+L25</f>
        <v>22.9721511401159</v>
      </c>
      <c r="M43" s="15" t="n">
        <f aca="false">M7+M16+M25</f>
        <v>26</v>
      </c>
      <c r="N43" s="15" t="n">
        <f aca="false">N7+N16+N25</f>
        <v>27.079</v>
      </c>
      <c r="P43" s="3" t="s">
        <v>328</v>
      </c>
      <c r="Q43" s="37" t="n">
        <f aca="false">Input!$L$61*M43*(1+Input!$B$12)*(1-Input!$B$9)</f>
        <v>2.139241</v>
      </c>
    </row>
    <row r="44" customFormat="false" ht="15" hidden="false" customHeight="false" outlineLevel="0" collapsed="false">
      <c r="A44" s="8" t="s">
        <v>341</v>
      </c>
      <c r="D44" s="39" t="n">
        <f aca="false">IF(D$4&lt;=(Input!$D$61-1),0,IF(D$4&gt;=(Input!$D$61+2),Input!$L$61,0+(Input!$L$61-0)*(D$4-(Input!$D$61-1))/(((Input!$D$61+2))-((Input!$D$61-1)))))</f>
        <v>0</v>
      </c>
      <c r="E44" s="39" t="n">
        <f aca="false">IF(E$4&lt;=(Input!$D$61-1),0,IF(E$4&gt;=(Input!$D$61+2),Input!$L$61,0+(Input!$L$61-0)*(E$4-(Input!$D$61-1))/(((Input!$D$61+2))-((Input!$D$61-1)))))</f>
        <v>0</v>
      </c>
      <c r="F44" s="39" t="n">
        <f aca="false">IF(F$4&lt;=(Input!$D$61-1),0,IF(F$4&gt;=(Input!$D$61+2),Input!$L$61,0+(Input!$L$61-0)*(F$4-(Input!$D$61-1))/(((Input!$D$61+2))-((Input!$D$61-1)))))</f>
        <v>0</v>
      </c>
      <c r="G44" s="39" t="n">
        <f aca="false">IF(G$4&lt;=(Input!$D$61-1),0,IF(G$4&gt;=(Input!$D$61+2),Input!$L$61,0+(Input!$L$61-0)*(G$4-(Input!$D$61-1))/(((Input!$D$61+2))-((Input!$D$61-1)))))</f>
        <v>0.0333333333333333</v>
      </c>
      <c r="H44" s="39" t="n">
        <f aca="false">IF(H$4&lt;=(Input!$D$61-1),0,IF(H$4&gt;=(Input!$D$61+2),Input!$L$61,0+(Input!$L$61-0)*(H$4-(Input!$D$61-1))/(((Input!$D$61+2))-((Input!$D$61-1)))))</f>
        <v>0.0666666666666667</v>
      </c>
      <c r="I44" s="39" t="n">
        <f aca="false">IF(I$4&lt;=(Input!$D$61-1),0,IF(I$4&gt;=(Input!$D$61+2),Input!$L$61,0+(Input!$L$61-0)*(I$4-(Input!$D$61-1))/(((Input!$D$61+2))-((Input!$D$61-1)))))</f>
        <v>0.1</v>
      </c>
      <c r="J44" s="39" t="n">
        <f aca="false">IF(J$4&lt;=(Input!$D$61-1),0,IF(J$4&gt;=(Input!$D$61+2),Input!$L$61,0+(Input!$L$61-0)*(J$4-(Input!$D$61-1))/(((Input!$D$61+2))-((Input!$D$61-1)))))</f>
        <v>0.1</v>
      </c>
      <c r="K44" s="39" t="n">
        <f aca="false">IF(K$4&lt;=(Input!$D$61-1),0,IF(K$4&gt;=(Input!$D$61+2),Input!$L$61,0+(Input!$L$61-0)*(K$4-(Input!$D$61-1))/(((Input!$D$61+2))-((Input!$D$61-1)))))</f>
        <v>0.1</v>
      </c>
      <c r="L44" s="39" t="n">
        <f aca="false">IF(L$4&lt;=(Input!$D$61-1),0,IF(L$4&gt;=(Input!$D$61+2),Input!$L$61,0+(Input!$L$61-0)*(L$4-(Input!$D$61-1))/(((Input!$D$61+2))-((Input!$D$61-1)))))</f>
        <v>0.1</v>
      </c>
      <c r="M44" s="39" t="n">
        <f aca="false">IF(M$4&lt;=(Input!$D$61-1),0,IF(M$4&gt;=(Input!$D$61+2),Input!$L$61,0+(Input!$L$61-0)*(M$4-(Input!$D$61-1))/(((Input!$D$61+2))-((Input!$D$61-1)))))</f>
        <v>0.1</v>
      </c>
      <c r="P44" s="3" t="s">
        <v>330</v>
      </c>
      <c r="Q44" s="37" t="n">
        <f aca="false">Q43</f>
        <v>2.139241</v>
      </c>
    </row>
    <row r="45" customFormat="false" ht="15" hidden="false" customHeight="false" outlineLevel="0" collapsed="false">
      <c r="A45" s="8" t="s">
        <v>331</v>
      </c>
      <c r="D45" s="37" t="n">
        <f aca="false">D43*D44</f>
        <v>0</v>
      </c>
      <c r="E45" s="37" t="n">
        <f aca="false">E43*E44</f>
        <v>0</v>
      </c>
      <c r="F45" s="37" t="n">
        <f aca="false">F43*F44</f>
        <v>0</v>
      </c>
      <c r="G45" s="37" t="n">
        <f aca="false">G43*G44</f>
        <v>0.327570683265415</v>
      </c>
      <c r="H45" s="37" t="n">
        <f aca="false">H43*H44</f>
        <v>0.81595582378191</v>
      </c>
      <c r="I45" s="37" t="n">
        <f aca="false">I43*I44</f>
        <v>1.47469435401423</v>
      </c>
      <c r="J45" s="37" t="n">
        <f aca="false">J43*J44</f>
        <v>1.73621436232314</v>
      </c>
      <c r="K45" s="37" t="n">
        <f aca="false">K43*K44</f>
        <v>2.00987036938261</v>
      </c>
      <c r="L45" s="37" t="n">
        <f aca="false">L43*L44</f>
        <v>2.29721511401159</v>
      </c>
      <c r="M45" s="37" t="n">
        <f aca="false">M43*M44</f>
        <v>2.6</v>
      </c>
      <c r="P45" s="3" t="s">
        <v>332</v>
      </c>
      <c r="Q45" s="15" t="n">
        <f aca="false">Q44/(Tassi!$B$14-Input!$B$12)</f>
        <v>46.2040090799332</v>
      </c>
    </row>
    <row r="46" customFormat="false" ht="15" hidden="false" customHeight="false" outlineLevel="0" collapsed="false">
      <c r="A46" s="8" t="s">
        <v>333</v>
      </c>
      <c r="D46" s="37" t="n">
        <v>0</v>
      </c>
      <c r="E46" s="37" t="n">
        <v>0</v>
      </c>
      <c r="F46" s="37" t="n">
        <v>0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37" t="n">
        <v>0</v>
      </c>
      <c r="M46" s="37" t="n">
        <v>0</v>
      </c>
      <c r="P46" s="3" t="s">
        <v>334</v>
      </c>
      <c r="Q46" s="15" t="n">
        <f aca="false">SUMPRODUCT($D47:$M47,Tassi!$D$23:$M$23)+Q45*Tassi!$M$23</f>
        <v>22.4408904095968</v>
      </c>
    </row>
    <row r="47" customFormat="false" ht="15" hidden="false" customHeight="false" outlineLevel="0" collapsed="false">
      <c r="A47" s="8" t="s">
        <v>335</v>
      </c>
      <c r="D47" s="37" t="n">
        <f aca="false">D45*(1-Input!$B$9)-D46</f>
        <v>0</v>
      </c>
      <c r="E47" s="37" t="n">
        <f aca="false">E45*(1-Input!$B$9)-E46</f>
        <v>0</v>
      </c>
      <c r="F47" s="37" t="n">
        <f aca="false">F45*(1-Input!$B$9)-F46</f>
        <v>0</v>
      </c>
      <c r="G47" s="37" t="n">
        <f aca="false">G45*(1-Input!$B$9)-G46</f>
        <v>0.258780839779678</v>
      </c>
      <c r="H47" s="37" t="n">
        <f aca="false">H45*(1-Input!$B$9)-H46</f>
        <v>0.644605100787709</v>
      </c>
      <c r="I47" s="37" t="n">
        <f aca="false">I45*(1-Input!$B$9)-I46</f>
        <v>1.16500853967124</v>
      </c>
      <c r="J47" s="37" t="n">
        <f aca="false">J45*(1-Input!$B$9)-J46</f>
        <v>1.37160934623528</v>
      </c>
      <c r="K47" s="37" t="n">
        <f aca="false">K45*(1-Input!$B$9)-K46</f>
        <v>1.58779759181226</v>
      </c>
      <c r="L47" s="37" t="n">
        <f aca="false">L45*(1-Input!$B$9)-L46</f>
        <v>1.81479994006916</v>
      </c>
      <c r="M47" s="37" t="n">
        <f aca="false">M45*(1-Input!$B$9)-M46</f>
        <v>2.054</v>
      </c>
      <c r="P47" s="3" t="s">
        <v>336</v>
      </c>
      <c r="Q47" s="15" t="n">
        <f aca="false">SUMPRODUCT($D47:$M47,Tassi!$D$26:$M$26)+Q45*Tassi!$M$26</f>
        <v>23.3789279172715</v>
      </c>
    </row>
    <row r="51" customFormat="false" ht="15" hidden="false" customHeight="false" outlineLevel="0" collapsed="false">
      <c r="A51" s="6" t="s">
        <v>342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customFormat="false" ht="15" hidden="false" customHeight="false" outlineLevel="0" collapsed="false">
      <c r="A52" s="8" t="s">
        <v>327</v>
      </c>
      <c r="C52" s="10" t="n">
        <f aca="false">Input!$E$62</f>
        <v>17</v>
      </c>
      <c r="D52" s="15" t="n">
        <f aca="false">C52*(1+((Input!$F$62/$C52)^(1/10)-1))</f>
        <v>19.8478298384363</v>
      </c>
      <c r="E52" s="15" t="n">
        <f aca="false">D52*(1+((Input!$F$62/$C52)^(1/10)-1))</f>
        <v>23.1727264291485</v>
      </c>
      <c r="F52" s="15" t="n">
        <f aca="false">E52*(1+((Input!$F$62/$C52)^(1/10)-1))</f>
        <v>27.0546077093162</v>
      </c>
      <c r="G52" s="15" t="n">
        <f aca="false">F52*(1+((Input!$F$62/$C52)^(1/10)-1))</f>
        <v>31.5867794211857</v>
      </c>
      <c r="H52" s="15" t="n">
        <f aca="false">G52*(1+((Input!$F$62/$C52)^(1/10)-1))</f>
        <v>36.8781778291716</v>
      </c>
      <c r="I52" s="15" t="n">
        <f aca="false">H52*(1+((Input!$F$62/$C52)^(1/10)-1))</f>
        <v>43.0559881355878</v>
      </c>
      <c r="J52" s="15" t="n">
        <f aca="false">I52*(1+((Input!$F$62/$C52)^(1/10)-1))</f>
        <v>50.2687015318166</v>
      </c>
      <c r="K52" s="15" t="n">
        <f aca="false">J52*(1+((Input!$F$62/$C52)^(1/10)-1))</f>
        <v>58.6896843648612</v>
      </c>
      <c r="L52" s="15" t="n">
        <f aca="false">K52*(1+((Input!$F$62/$C52)^(1/10)-1))</f>
        <v>68.5213452085472</v>
      </c>
      <c r="M52" s="15" t="n">
        <f aca="false">L52*(1+((Input!$F$62/$C52)^(1/10)-1))</f>
        <v>80</v>
      </c>
      <c r="N52" s="15" t="n">
        <f aca="false">M52*(1+Input!$B$12)</f>
        <v>83.3200000000001</v>
      </c>
      <c r="P52" s="3" t="s">
        <v>328</v>
      </c>
      <c r="Q52" s="37" t="n">
        <f aca="false">N52*Input!$I$62*(1-Input!$B$9)</f>
        <v>29.62026</v>
      </c>
    </row>
    <row r="53" customFormat="false" ht="15" hidden="false" customHeight="false" outlineLevel="0" collapsed="false">
      <c r="A53" s="8" t="s">
        <v>329</v>
      </c>
      <c r="D53" s="39" t="n">
        <f aca="false">IF(D$4&lt;=2027,Input!$H$62,IF(D$4&gt;=(2027+4),Input!$I$62,Input!$H$62+(Input!$I$62-Input!$H$62)*(D$4-2027)/(((2027+4))-(2027))))</f>
        <v>0.38</v>
      </c>
      <c r="E53" s="39" t="n">
        <f aca="false">IF(E$4&lt;=2027,Input!$H$62,IF(E$4&gt;=(2027+4),Input!$I$62,Input!$H$62+(Input!$I$62-Input!$H$62)*(E$4-2027)/(((2027+4))-(2027))))</f>
        <v>0.3975</v>
      </c>
      <c r="F53" s="39" t="n">
        <f aca="false">IF(F$4&lt;=2027,Input!$H$62,IF(F$4&gt;=(2027+4),Input!$I$62,Input!$H$62+(Input!$I$62-Input!$H$62)*(F$4-2027)/(((2027+4))-(2027))))</f>
        <v>0.415</v>
      </c>
      <c r="G53" s="39" t="n">
        <f aca="false">IF(G$4&lt;=2027,Input!$H$62,IF(G$4&gt;=(2027+4),Input!$I$62,Input!$H$62+(Input!$I$62-Input!$H$62)*(G$4-2027)/(((2027+4))-(2027))))</f>
        <v>0.4325</v>
      </c>
      <c r="H53" s="39" t="n">
        <f aca="false">IF(H$4&lt;=2027,Input!$H$62,IF(H$4&gt;=(2027+4),Input!$I$62,Input!$H$62+(Input!$I$62-Input!$H$62)*(H$4-2027)/(((2027+4))-(2027))))</f>
        <v>0.45</v>
      </c>
      <c r="I53" s="39" t="n">
        <f aca="false">IF(I$4&lt;=2027,Input!$H$62,IF(I$4&gt;=(2027+4),Input!$I$62,Input!$H$62+(Input!$I$62-Input!$H$62)*(I$4-2027)/(((2027+4))-(2027))))</f>
        <v>0.45</v>
      </c>
      <c r="J53" s="39" t="n">
        <f aca="false">IF(J$4&lt;=2027,Input!$H$62,IF(J$4&gt;=(2027+4),Input!$I$62,Input!$H$62+(Input!$I$62-Input!$H$62)*(J$4-2027)/(((2027+4))-(2027))))</f>
        <v>0.45</v>
      </c>
      <c r="K53" s="39" t="n">
        <f aca="false">IF(K$4&lt;=2027,Input!$H$62,IF(K$4&gt;=(2027+4),Input!$I$62,Input!$H$62+(Input!$I$62-Input!$H$62)*(K$4-2027)/(((2027+4))-(2027))))</f>
        <v>0.45</v>
      </c>
      <c r="L53" s="39" t="n">
        <f aca="false">IF(L$4&lt;=2027,Input!$H$62,IF(L$4&gt;=(2027+4),Input!$I$62,Input!$H$62+(Input!$I$62-Input!$H$62)*(L$4-2027)/(((2027+4))-(2027))))</f>
        <v>0.45</v>
      </c>
      <c r="M53" s="39" t="n">
        <f aca="false">IF(M$4&lt;=2027,Input!$H$62,IF(M$4&gt;=(2027+4),Input!$I$62,Input!$H$62+(Input!$I$62-Input!$H$62)*(M$4-2027)/(((2027+4))-(2027))))</f>
        <v>0.45</v>
      </c>
      <c r="P53" s="3" t="s">
        <v>330</v>
      </c>
      <c r="Q53" s="37" t="n">
        <f aca="false">Q52*(1-Input!$B$12/Input!$K$62)</f>
        <v>22.7911445</v>
      </c>
    </row>
    <row r="54" customFormat="false" ht="15" hidden="false" customHeight="false" outlineLevel="0" collapsed="false">
      <c r="A54" s="8" t="s">
        <v>331</v>
      </c>
      <c r="D54" s="37" t="n">
        <f aca="false">D52*D53</f>
        <v>7.54217533860581</v>
      </c>
      <c r="E54" s="37" t="n">
        <f aca="false">E52*E53</f>
        <v>9.21115875558652</v>
      </c>
      <c r="F54" s="37" t="n">
        <f aca="false">F52*F53</f>
        <v>11.2276621993662</v>
      </c>
      <c r="G54" s="37" t="n">
        <f aca="false">G52*G53</f>
        <v>13.6612820996628</v>
      </c>
      <c r="H54" s="37" t="n">
        <f aca="false">H52*H53</f>
        <v>16.5951800231272</v>
      </c>
      <c r="I54" s="37" t="n">
        <f aca="false">I52*I53</f>
        <v>19.3751946610145</v>
      </c>
      <c r="J54" s="37" t="n">
        <f aca="false">J52*J53</f>
        <v>22.6209156893175</v>
      </c>
      <c r="K54" s="37" t="n">
        <f aca="false">K52*K53</f>
        <v>26.4103579641875</v>
      </c>
      <c r="L54" s="37" t="n">
        <f aca="false">L52*L53</f>
        <v>30.8346053438462</v>
      </c>
      <c r="M54" s="37" t="n">
        <f aca="false">M52*M53</f>
        <v>36</v>
      </c>
      <c r="P54" s="3" t="s">
        <v>332</v>
      </c>
      <c r="Q54" s="15" t="n">
        <f aca="false">Q53/(Tassi!$C$14-Input!$B$12)</f>
        <v>724.128388919073</v>
      </c>
    </row>
    <row r="55" customFormat="false" ht="15" hidden="false" customHeight="false" outlineLevel="0" collapsed="false">
      <c r="A55" s="8" t="s">
        <v>333</v>
      </c>
      <c r="D55" s="37" t="n">
        <f aca="false">(E52-D52)/Input!$J$62</f>
        <v>1.18746306811148</v>
      </c>
      <c r="E55" s="37" t="n">
        <f aca="false">(F52-E52)/Input!$J$62</f>
        <v>1.38638617148848</v>
      </c>
      <c r="F55" s="37" t="n">
        <f aca="false">(G52-F52)/Input!$J$62</f>
        <v>1.61863275423909</v>
      </c>
      <c r="G55" s="37" t="n">
        <f aca="false">(H52-G52)/Input!$J$62</f>
        <v>1.88978514570924</v>
      </c>
      <c r="H55" s="37" t="n">
        <f aca="false">(I52-H52)/Input!$J$62</f>
        <v>2.2063608237201</v>
      </c>
      <c r="I55" s="37" t="n">
        <f aca="false">(J52-I52)/Input!$J$62</f>
        <v>2.57596907008169</v>
      </c>
      <c r="J55" s="37" t="n">
        <f aca="false">(K52-J52)/Input!$J$62</f>
        <v>3.0074938689445</v>
      </c>
      <c r="K55" s="37" t="n">
        <f aca="false">(L52-K52)/Input!$J$62</f>
        <v>3.51130744417359</v>
      </c>
      <c r="L55" s="37" t="n">
        <f aca="false">(M52-L52)/Input!$J$62</f>
        <v>4.09951956837602</v>
      </c>
      <c r="M55" s="37" t="n">
        <f aca="false">(N52-M52)/Input!$J$62</f>
        <v>1.18571428571429</v>
      </c>
      <c r="P55" s="3" t="s">
        <v>334</v>
      </c>
      <c r="Q55" s="15" t="n">
        <f aca="false">SUMPRODUCT($D56:$M56,Tassi!$D$29:$M$29)+Q54*Tassi!$M$29</f>
        <v>400.560205087442</v>
      </c>
    </row>
    <row r="56" customFormat="false" ht="15" hidden="false" customHeight="false" outlineLevel="0" collapsed="false">
      <c r="A56" s="8" t="s">
        <v>335</v>
      </c>
      <c r="D56" s="37" t="n">
        <f aca="false">D54*(1-Input!$B$9)-D55</f>
        <v>4.77085544938711</v>
      </c>
      <c r="E56" s="37" t="n">
        <f aca="false">E54*(1-Input!$B$9)-E55</f>
        <v>5.89042924542487</v>
      </c>
      <c r="F56" s="37" t="n">
        <f aca="false">F54*(1-Input!$B$9)-F55</f>
        <v>7.25122038326023</v>
      </c>
      <c r="G56" s="37" t="n">
        <f aca="false">G54*(1-Input!$B$9)-G55</f>
        <v>8.90262771302438</v>
      </c>
      <c r="H56" s="37" t="n">
        <f aca="false">H54*(1-Input!$B$9)-H55</f>
        <v>10.9038313945504</v>
      </c>
      <c r="I56" s="37" t="n">
        <f aca="false">I54*(1-Input!$B$9)-I55</f>
        <v>12.7304347121198</v>
      </c>
      <c r="J56" s="37" t="n">
        <f aca="false">J54*(1-Input!$B$9)-J55</f>
        <v>14.8630295256163</v>
      </c>
      <c r="K56" s="37" t="n">
        <f aca="false">K54*(1-Input!$B$9)-K55</f>
        <v>17.3528753475346</v>
      </c>
      <c r="L56" s="37" t="n">
        <f aca="false">L54*(1-Input!$B$9)-L55</f>
        <v>20.2598186532625</v>
      </c>
      <c r="M56" s="37" t="n">
        <f aca="false">M54*(1-Input!$B$9)-M55</f>
        <v>27.2542857142857</v>
      </c>
      <c r="P56" s="3" t="s">
        <v>336</v>
      </c>
      <c r="Q56" s="15" t="n">
        <f aca="false">SUMPRODUCT($D56:$M56,Tassi!$D$32:$M$32)+Q54*Tassi!$M$32</f>
        <v>421.597783032614</v>
      </c>
    </row>
    <row r="60" customFormat="false" ht="15" hidden="false" customHeight="false" outlineLevel="0" collapsed="false">
      <c r="A60" s="6" t="s">
        <v>343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customFormat="false" ht="15" hidden="false" customHeight="false" outlineLevel="0" collapsed="false">
      <c r="A61" s="8" t="s">
        <v>327</v>
      </c>
      <c r="C61" s="15" t="n">
        <f aca="false">IF(C$4&lt;Input!$D$63,0,IF(C$4&lt;=Input!$D$63,Input!$E$63,IF(C$4&gt;=2036,Input!$F$63,Input!$E$63+(Input!$F$63-Input!$E$63)*(C$4-Input!$D$63)/((2036)-(Input!$D$63)))))</f>
        <v>0</v>
      </c>
      <c r="D61" s="15" t="n">
        <f aca="false">IF(D$4&lt;Input!$D$63,0,IF(D$4&lt;=Input!$D$63,Input!$E$63,IF(D$4&gt;=2036,Input!$F$63,Input!$E$63+(Input!$F$63-Input!$E$63)*(D$4-Input!$D$63)/((2036)-(Input!$D$63)))))</f>
        <v>0</v>
      </c>
      <c r="E61" s="15" t="n">
        <f aca="false">IF(E$4&lt;Input!$D$63,0,IF(E$4&lt;=Input!$D$63,Input!$E$63,IF(E$4&gt;=2036,Input!$F$63,Input!$E$63+(Input!$F$63-Input!$E$63)*(E$4-Input!$D$63)/((2036)-(Input!$D$63)))))</f>
        <v>0</v>
      </c>
      <c r="F61" s="15" t="n">
        <f aca="false">IF(F$4&lt;Input!$D$63,0,IF(F$4&lt;=Input!$D$63,Input!$E$63,IF(F$4&gt;=2036,Input!$F$63,Input!$E$63+(Input!$F$63-Input!$E$63)*(F$4-Input!$D$63)/((2036)-(Input!$D$63)))))</f>
        <v>3.75</v>
      </c>
      <c r="G61" s="15" t="n">
        <f aca="false">IF(G$4&lt;Input!$D$63,0,IF(G$4&lt;=Input!$D$63,Input!$E$63,IF(G$4&gt;=2036,Input!$F$63,Input!$E$63+(Input!$F$63-Input!$E$63)*(G$4-Input!$D$63)/((2036)-(Input!$D$63)))))</f>
        <v>7.5</v>
      </c>
      <c r="H61" s="15" t="n">
        <f aca="false">IF(H$4&lt;Input!$D$63,0,IF(H$4&lt;=Input!$D$63,Input!$E$63,IF(H$4&gt;=2036,Input!$F$63,Input!$E$63+(Input!$F$63-Input!$E$63)*(H$4-Input!$D$63)/((2036)-(Input!$D$63)))))</f>
        <v>11.25</v>
      </c>
      <c r="I61" s="15" t="n">
        <f aca="false">IF(I$4&lt;Input!$D$63,0,IF(I$4&lt;=Input!$D$63,Input!$E$63,IF(I$4&gt;=2036,Input!$F$63,Input!$E$63+(Input!$F$63-Input!$E$63)*(I$4-Input!$D$63)/((2036)-(Input!$D$63)))))</f>
        <v>15</v>
      </c>
      <c r="J61" s="15" t="n">
        <f aca="false">IF(J$4&lt;Input!$D$63,0,IF(J$4&lt;=Input!$D$63,Input!$E$63,IF(J$4&gt;=2036,Input!$F$63,Input!$E$63+(Input!$F$63-Input!$E$63)*(J$4-Input!$D$63)/((2036)-(Input!$D$63)))))</f>
        <v>18.75</v>
      </c>
      <c r="K61" s="15" t="n">
        <f aca="false">IF(K$4&lt;Input!$D$63,0,IF(K$4&lt;=Input!$D$63,Input!$E$63,IF(K$4&gt;=2036,Input!$F$63,Input!$E$63+(Input!$F$63-Input!$E$63)*(K$4-Input!$D$63)/((2036)-(Input!$D$63)))))</f>
        <v>22.5</v>
      </c>
      <c r="L61" s="15" t="n">
        <f aca="false">IF(L$4&lt;Input!$D$63,0,IF(L$4&lt;=Input!$D$63,Input!$E$63,IF(L$4&gt;=2036,Input!$F$63,Input!$E$63+(Input!$F$63-Input!$E$63)*(L$4-Input!$D$63)/((2036)-(Input!$D$63)))))</f>
        <v>26.25</v>
      </c>
      <c r="M61" s="15" t="n">
        <f aca="false">IF(M$4&lt;Input!$D$63,0,IF(M$4&lt;=Input!$D$63,Input!$E$63,IF(M$4&gt;=2036,Input!$F$63,Input!$E$63+(Input!$F$63-Input!$E$63)*(M$4-Input!$D$63)/((2036)-(Input!$D$63)))))</f>
        <v>30</v>
      </c>
      <c r="N61" s="15" t="n">
        <f aca="false">M61*(1+Input!$B$12)</f>
        <v>31.245</v>
      </c>
      <c r="P61" s="3" t="s">
        <v>328</v>
      </c>
      <c r="Q61" s="37" t="n">
        <f aca="false">N61*Input!$I$63*(1-Input!$B$9)</f>
        <v>11.1075975</v>
      </c>
    </row>
    <row r="62" customFormat="false" ht="15" hidden="false" customHeight="false" outlineLevel="0" collapsed="false">
      <c r="A62" s="8" t="s">
        <v>329</v>
      </c>
      <c r="D62" s="39" t="n">
        <f aca="false">IF(D$4&lt;=Input!$D$63,Input!$H$63,IF(D$4&gt;=(Input!$D$63+4),Input!$I$63,Input!$H$63+(Input!$I$63-Input!$H$63)*(D$4-Input!$D$63)/(((Input!$D$63+4))-(Input!$D$63))))</f>
        <v>0.3</v>
      </c>
      <c r="E62" s="39" t="n">
        <f aca="false">IF(E$4&lt;=Input!$D$63,Input!$H$63,IF(E$4&gt;=(Input!$D$63+4),Input!$I$63,Input!$H$63+(Input!$I$63-Input!$H$63)*(E$4-Input!$D$63)/(((Input!$D$63+4))-(Input!$D$63))))</f>
        <v>0.3</v>
      </c>
      <c r="F62" s="39" t="n">
        <f aca="false">IF(F$4&lt;=Input!$D$63,Input!$H$63,IF(F$4&gt;=(Input!$D$63+4),Input!$I$63,Input!$H$63+(Input!$I$63-Input!$H$63)*(F$4-Input!$D$63)/(((Input!$D$63+4))-(Input!$D$63))))</f>
        <v>0.3375</v>
      </c>
      <c r="G62" s="39" t="n">
        <f aca="false">IF(G$4&lt;=Input!$D$63,Input!$H$63,IF(G$4&gt;=(Input!$D$63+4),Input!$I$63,Input!$H$63+(Input!$I$63-Input!$H$63)*(G$4-Input!$D$63)/(((Input!$D$63+4))-(Input!$D$63))))</f>
        <v>0.375</v>
      </c>
      <c r="H62" s="39" t="n">
        <f aca="false">IF(H$4&lt;=Input!$D$63,Input!$H$63,IF(H$4&gt;=(Input!$D$63+4),Input!$I$63,Input!$H$63+(Input!$I$63-Input!$H$63)*(H$4-Input!$D$63)/(((Input!$D$63+4))-(Input!$D$63))))</f>
        <v>0.4125</v>
      </c>
      <c r="I62" s="39" t="n">
        <f aca="false">IF(I$4&lt;=Input!$D$63,Input!$H$63,IF(I$4&gt;=(Input!$D$63+4),Input!$I$63,Input!$H$63+(Input!$I$63-Input!$H$63)*(I$4-Input!$D$63)/(((Input!$D$63+4))-(Input!$D$63))))</f>
        <v>0.45</v>
      </c>
      <c r="J62" s="39" t="n">
        <f aca="false">IF(J$4&lt;=Input!$D$63,Input!$H$63,IF(J$4&gt;=(Input!$D$63+4),Input!$I$63,Input!$H$63+(Input!$I$63-Input!$H$63)*(J$4-Input!$D$63)/(((Input!$D$63+4))-(Input!$D$63))))</f>
        <v>0.45</v>
      </c>
      <c r="K62" s="39" t="n">
        <f aca="false">IF(K$4&lt;=Input!$D$63,Input!$H$63,IF(K$4&gt;=(Input!$D$63+4),Input!$I$63,Input!$H$63+(Input!$I$63-Input!$H$63)*(K$4-Input!$D$63)/(((Input!$D$63+4))-(Input!$D$63))))</f>
        <v>0.45</v>
      </c>
      <c r="L62" s="39" t="n">
        <f aca="false">IF(L$4&lt;=Input!$D$63,Input!$H$63,IF(L$4&gt;=(Input!$D$63+4),Input!$I$63,Input!$H$63+(Input!$I$63-Input!$H$63)*(L$4-Input!$D$63)/(((Input!$D$63+4))-(Input!$D$63))))</f>
        <v>0.45</v>
      </c>
      <c r="M62" s="39" t="n">
        <f aca="false">IF(M$4&lt;=Input!$D$63,Input!$H$63,IF(M$4&gt;=(Input!$D$63+4),Input!$I$63,Input!$H$63+(Input!$I$63-Input!$H$63)*(M$4-Input!$D$63)/(((Input!$D$63+4))-(Input!$D$63))))</f>
        <v>0.45</v>
      </c>
      <c r="P62" s="3" t="s">
        <v>330</v>
      </c>
      <c r="Q62" s="37" t="n">
        <f aca="false">Q61*(1-Input!$B$12/Input!$K$63)</f>
        <v>8.5466791875</v>
      </c>
    </row>
    <row r="63" customFormat="false" ht="15" hidden="false" customHeight="false" outlineLevel="0" collapsed="false">
      <c r="A63" s="8" t="s">
        <v>331</v>
      </c>
      <c r="D63" s="37" t="n">
        <f aca="false">D61*D62</f>
        <v>0</v>
      </c>
      <c r="E63" s="37" t="n">
        <f aca="false">E61*E62</f>
        <v>0</v>
      </c>
      <c r="F63" s="37" t="n">
        <f aca="false">F61*F62</f>
        <v>1.265625</v>
      </c>
      <c r="G63" s="37" t="n">
        <f aca="false">G61*G62</f>
        <v>2.8125</v>
      </c>
      <c r="H63" s="37" t="n">
        <f aca="false">H61*H62</f>
        <v>4.640625</v>
      </c>
      <c r="I63" s="37" t="n">
        <f aca="false">I61*I62</f>
        <v>6.75</v>
      </c>
      <c r="J63" s="37" t="n">
        <f aca="false">J61*J62</f>
        <v>8.4375</v>
      </c>
      <c r="K63" s="37" t="n">
        <f aca="false">K61*K62</f>
        <v>10.125</v>
      </c>
      <c r="L63" s="37" t="n">
        <f aca="false">L61*L62</f>
        <v>11.8125</v>
      </c>
      <c r="M63" s="37" t="n">
        <f aca="false">M61*M62</f>
        <v>13.5</v>
      </c>
      <c r="P63" s="3" t="s">
        <v>332</v>
      </c>
      <c r="Q63" s="15" t="n">
        <f aca="false">Q62/(Tassi!$C$14-Input!$B$12)</f>
        <v>271.548145844652</v>
      </c>
    </row>
    <row r="64" customFormat="false" ht="15" hidden="false" customHeight="false" outlineLevel="0" collapsed="false">
      <c r="A64" s="8" t="s">
        <v>333</v>
      </c>
      <c r="D64" s="37" t="n">
        <f aca="false">(E61-D61)/Input!$J$63</f>
        <v>0</v>
      </c>
      <c r="E64" s="37" t="n">
        <f aca="false">(F61-E61)/Input!$J$63</f>
        <v>1.875</v>
      </c>
      <c r="F64" s="37" t="n">
        <f aca="false">(G61-F61)/Input!$J$63</f>
        <v>1.875</v>
      </c>
      <c r="G64" s="37" t="n">
        <f aca="false">(H61-G61)/Input!$J$63</f>
        <v>1.875</v>
      </c>
      <c r="H64" s="37" t="n">
        <f aca="false">(I61-H61)/Input!$J$63</f>
        <v>1.875</v>
      </c>
      <c r="I64" s="37" t="n">
        <f aca="false">(J61-I61)/Input!$J$63</f>
        <v>1.875</v>
      </c>
      <c r="J64" s="37" t="n">
        <f aca="false">(K61-J61)/Input!$J$63</f>
        <v>1.875</v>
      </c>
      <c r="K64" s="37" t="n">
        <f aca="false">(L61-K61)/Input!$J$63</f>
        <v>1.875</v>
      </c>
      <c r="L64" s="37" t="n">
        <f aca="false">(M61-L61)/Input!$J$63</f>
        <v>1.875</v>
      </c>
      <c r="M64" s="37" t="n">
        <f aca="false">(N61-M61)/Input!$J$63</f>
        <v>0.622500000000002</v>
      </c>
      <c r="P64" s="3" t="s">
        <v>334</v>
      </c>
      <c r="Q64" s="15" t="n">
        <f aca="false">SUMPRODUCT($D65:$M65,Tassi!$D$29:$M$29)+Q63*Tassi!$M$29</f>
        <v>137.627722109892</v>
      </c>
    </row>
    <row r="65" customFormat="false" ht="15" hidden="false" customHeight="false" outlineLevel="0" collapsed="false">
      <c r="A65" s="8" t="s">
        <v>335</v>
      </c>
      <c r="D65" s="37" t="n">
        <f aca="false">D63*(1-Input!$B$9)-D64</f>
        <v>0</v>
      </c>
      <c r="E65" s="37" t="n">
        <f aca="false">E63*(1-Input!$B$9)-E64</f>
        <v>-1.875</v>
      </c>
      <c r="F65" s="37" t="n">
        <f aca="false">F63*(1-Input!$B$9)-F64</f>
        <v>-0.87515625</v>
      </c>
      <c r="G65" s="37" t="n">
        <f aca="false">G63*(1-Input!$B$9)-G64</f>
        <v>0.346875</v>
      </c>
      <c r="H65" s="37" t="n">
        <f aca="false">H63*(1-Input!$B$9)-H64</f>
        <v>1.79109375</v>
      </c>
      <c r="I65" s="37" t="n">
        <f aca="false">I63*(1-Input!$B$9)-I64</f>
        <v>3.4575</v>
      </c>
      <c r="J65" s="37" t="n">
        <f aca="false">J63*(1-Input!$B$9)-J64</f>
        <v>4.790625</v>
      </c>
      <c r="K65" s="37" t="n">
        <f aca="false">K63*(1-Input!$B$9)-K64</f>
        <v>6.12375</v>
      </c>
      <c r="L65" s="37" t="n">
        <f aca="false">L63*(1-Input!$B$9)-L64</f>
        <v>7.456875</v>
      </c>
      <c r="M65" s="37" t="n">
        <f aca="false">M63*(1-Input!$B$9)-M64</f>
        <v>10.0425</v>
      </c>
      <c r="P65" s="3" t="s">
        <v>336</v>
      </c>
      <c r="Q65" s="15" t="n">
        <f aca="false">SUMPRODUCT($D65:$M65,Tassi!$D$32:$M$32)+Q63*Tassi!$M$32</f>
        <v>144.886591613761</v>
      </c>
    </row>
    <row r="69" customFormat="false" ht="15" hidden="false" customHeight="false" outlineLevel="0" collapsed="false">
      <c r="A69" s="6" t="s">
        <v>344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customFormat="false" ht="15" hidden="false" customHeight="false" outlineLevel="0" collapsed="false">
      <c r="A70" s="8" t="s">
        <v>327</v>
      </c>
      <c r="C70" s="15" t="n">
        <f aca="false">IF(C$4&lt;Input!$D$64,0,IF(C$4&lt;=Input!$D$64,Input!$E$64,IF(C$4&gt;=2036,Input!$F$64,Input!$E$64+(Input!$F$64-Input!$E$64)*(C$4-Input!$D$64)/((2036)-(Input!$D$64)))))</f>
        <v>0</v>
      </c>
      <c r="D70" s="15" t="n">
        <f aca="false">IF(D$4&lt;Input!$D$64,0,IF(D$4&lt;=Input!$D$64,Input!$E$64,IF(D$4&gt;=2036,Input!$F$64,Input!$E$64+(Input!$F$64-Input!$E$64)*(D$4-Input!$D$64)/((2036)-(Input!$D$64)))))</f>
        <v>0</v>
      </c>
      <c r="E70" s="15" t="n">
        <f aca="false">IF(E$4&lt;Input!$D$64,0,IF(E$4&lt;=Input!$D$64,Input!$E$64,IF(E$4&gt;=2036,Input!$F$64,Input!$E$64+(Input!$F$64-Input!$E$64)*(E$4-Input!$D$64)/((2036)-(Input!$D$64)))))</f>
        <v>0</v>
      </c>
      <c r="F70" s="15" t="n">
        <f aca="false">IF(F$4&lt;Input!$D$64,0,IF(F$4&lt;=Input!$D$64,Input!$E$64,IF(F$4&gt;=2036,Input!$F$64,Input!$E$64+(Input!$F$64-Input!$E$64)*(F$4-Input!$D$64)/((2036)-(Input!$D$64)))))</f>
        <v>0</v>
      </c>
      <c r="G70" s="15" t="n">
        <f aca="false">IF(G$4&lt;Input!$D$64,0,IF(G$4&lt;=Input!$D$64,Input!$E$64,IF(G$4&gt;=2036,Input!$F$64,Input!$E$64+(Input!$F$64-Input!$E$64)*(G$4-Input!$D$64)/((2036)-(Input!$D$64)))))</f>
        <v>2.14285714285714</v>
      </c>
      <c r="H70" s="15" t="n">
        <f aca="false">IF(H$4&lt;Input!$D$64,0,IF(H$4&lt;=Input!$D$64,Input!$E$64,IF(H$4&gt;=2036,Input!$F$64,Input!$E$64+(Input!$F$64-Input!$E$64)*(H$4-Input!$D$64)/((2036)-(Input!$D$64)))))</f>
        <v>4.28571428571429</v>
      </c>
      <c r="I70" s="15" t="n">
        <f aca="false">IF(I$4&lt;Input!$D$64,0,IF(I$4&lt;=Input!$D$64,Input!$E$64,IF(I$4&gt;=2036,Input!$F$64,Input!$E$64+(Input!$F$64-Input!$E$64)*(I$4-Input!$D$64)/((2036)-(Input!$D$64)))))</f>
        <v>6.42857142857143</v>
      </c>
      <c r="J70" s="15" t="n">
        <f aca="false">IF(J$4&lt;Input!$D$64,0,IF(J$4&lt;=Input!$D$64,Input!$E$64,IF(J$4&gt;=2036,Input!$F$64,Input!$E$64+(Input!$F$64-Input!$E$64)*(J$4-Input!$D$64)/((2036)-(Input!$D$64)))))</f>
        <v>8.57142857142857</v>
      </c>
      <c r="K70" s="15" t="n">
        <f aca="false">IF(K$4&lt;Input!$D$64,0,IF(K$4&lt;=Input!$D$64,Input!$E$64,IF(K$4&gt;=2036,Input!$F$64,Input!$E$64+(Input!$F$64-Input!$E$64)*(K$4-Input!$D$64)/((2036)-(Input!$D$64)))))</f>
        <v>10.7142857142857</v>
      </c>
      <c r="L70" s="15" t="n">
        <f aca="false">IF(L$4&lt;Input!$D$64,0,IF(L$4&lt;=Input!$D$64,Input!$E$64,IF(L$4&gt;=2036,Input!$F$64,Input!$E$64+(Input!$F$64-Input!$E$64)*(L$4-Input!$D$64)/((2036)-(Input!$D$64)))))</f>
        <v>12.8571428571429</v>
      </c>
      <c r="M70" s="15" t="n">
        <f aca="false">IF(M$4&lt;Input!$D$64,0,IF(M$4&lt;=Input!$D$64,Input!$E$64,IF(M$4&gt;=2036,Input!$F$64,Input!$E$64+(Input!$F$64-Input!$E$64)*(M$4-Input!$D$64)/((2036)-(Input!$D$64)))))</f>
        <v>15</v>
      </c>
      <c r="N70" s="15" t="n">
        <f aca="false">M70*(1+Input!$B$12)</f>
        <v>15.6225</v>
      </c>
      <c r="P70" s="3" t="s">
        <v>328</v>
      </c>
      <c r="Q70" s="37" t="n">
        <f aca="false">N70*Input!$I$64*(1-Input!$B$9)</f>
        <v>5.55379875</v>
      </c>
    </row>
    <row r="71" customFormat="false" ht="15" hidden="false" customHeight="false" outlineLevel="0" collapsed="false">
      <c r="A71" s="8" t="s">
        <v>329</v>
      </c>
      <c r="D71" s="39" t="n">
        <f aca="false">IF(D$4&lt;=Input!$D$64,Input!$H$64,IF(D$4&gt;=(Input!$D$64+4),Input!$I$64,Input!$H$64+(Input!$I$64-Input!$H$64)*(D$4-Input!$D$64)/(((Input!$D$64+4))-(Input!$D$64))))</f>
        <v>0.4</v>
      </c>
      <c r="E71" s="39" t="n">
        <f aca="false">IF(E$4&lt;=Input!$D$64,Input!$H$64,IF(E$4&gt;=(Input!$D$64+4),Input!$I$64,Input!$H$64+(Input!$I$64-Input!$H$64)*(E$4-Input!$D$64)/(((Input!$D$64+4))-(Input!$D$64))))</f>
        <v>0.4</v>
      </c>
      <c r="F71" s="39" t="n">
        <f aca="false">IF(F$4&lt;=Input!$D$64,Input!$H$64,IF(F$4&gt;=(Input!$D$64+4),Input!$I$64,Input!$H$64+(Input!$I$64-Input!$H$64)*(F$4-Input!$D$64)/(((Input!$D$64+4))-(Input!$D$64))))</f>
        <v>0.4</v>
      </c>
      <c r="G71" s="39" t="n">
        <f aca="false">IF(G$4&lt;=Input!$D$64,Input!$H$64,IF(G$4&gt;=(Input!$D$64+4),Input!$I$64,Input!$H$64+(Input!$I$64-Input!$H$64)*(G$4-Input!$D$64)/(((Input!$D$64+4))-(Input!$D$64))))</f>
        <v>0.4125</v>
      </c>
      <c r="H71" s="39" t="n">
        <f aca="false">IF(H$4&lt;=Input!$D$64,Input!$H$64,IF(H$4&gt;=(Input!$D$64+4),Input!$I$64,Input!$H$64+(Input!$I$64-Input!$H$64)*(H$4-Input!$D$64)/(((Input!$D$64+4))-(Input!$D$64))))</f>
        <v>0.425</v>
      </c>
      <c r="I71" s="39" t="n">
        <f aca="false">IF(I$4&lt;=Input!$D$64,Input!$H$64,IF(I$4&gt;=(Input!$D$64+4),Input!$I$64,Input!$H$64+(Input!$I$64-Input!$H$64)*(I$4-Input!$D$64)/(((Input!$D$64+4))-(Input!$D$64))))</f>
        <v>0.4375</v>
      </c>
      <c r="J71" s="39" t="n">
        <f aca="false">IF(J$4&lt;=Input!$D$64,Input!$H$64,IF(J$4&gt;=(Input!$D$64+4),Input!$I$64,Input!$H$64+(Input!$I$64-Input!$H$64)*(J$4-Input!$D$64)/(((Input!$D$64+4))-(Input!$D$64))))</f>
        <v>0.45</v>
      </c>
      <c r="K71" s="39" t="n">
        <f aca="false">IF(K$4&lt;=Input!$D$64,Input!$H$64,IF(K$4&gt;=(Input!$D$64+4),Input!$I$64,Input!$H$64+(Input!$I$64-Input!$H$64)*(K$4-Input!$D$64)/(((Input!$D$64+4))-(Input!$D$64))))</f>
        <v>0.45</v>
      </c>
      <c r="L71" s="39" t="n">
        <f aca="false">IF(L$4&lt;=Input!$D$64,Input!$H$64,IF(L$4&gt;=(Input!$D$64+4),Input!$I$64,Input!$H$64+(Input!$I$64-Input!$H$64)*(L$4-Input!$D$64)/(((Input!$D$64+4))-(Input!$D$64))))</f>
        <v>0.45</v>
      </c>
      <c r="M71" s="39" t="n">
        <f aca="false">IF(M$4&lt;=Input!$D$64,Input!$H$64,IF(M$4&gt;=(Input!$D$64+4),Input!$I$64,Input!$H$64+(Input!$I$64-Input!$H$64)*(M$4-Input!$D$64)/(((Input!$D$64+4))-(Input!$D$64))))</f>
        <v>0.45</v>
      </c>
      <c r="P71" s="3" t="s">
        <v>330</v>
      </c>
      <c r="Q71" s="37" t="n">
        <f aca="false">Q70*(1-Input!$B$12/Input!$K$64)</f>
        <v>4.27333959375</v>
      </c>
    </row>
    <row r="72" customFormat="false" ht="15" hidden="false" customHeight="false" outlineLevel="0" collapsed="false">
      <c r="A72" s="8" t="s">
        <v>331</v>
      </c>
      <c r="D72" s="37" t="n">
        <f aca="false">D70*D71</f>
        <v>0</v>
      </c>
      <c r="E72" s="37" t="n">
        <f aca="false">E70*E71</f>
        <v>0</v>
      </c>
      <c r="F72" s="37" t="n">
        <f aca="false">F70*F71</f>
        <v>0</v>
      </c>
      <c r="G72" s="37" t="n">
        <f aca="false">G70*G71</f>
        <v>0.883928571428572</v>
      </c>
      <c r="H72" s="37" t="n">
        <f aca="false">H70*H71</f>
        <v>1.82142857142857</v>
      </c>
      <c r="I72" s="37" t="n">
        <f aca="false">I70*I71</f>
        <v>2.8125</v>
      </c>
      <c r="J72" s="37" t="n">
        <f aca="false">J70*J71</f>
        <v>3.85714285714286</v>
      </c>
      <c r="K72" s="37" t="n">
        <f aca="false">K70*K71</f>
        <v>4.82142857142857</v>
      </c>
      <c r="L72" s="37" t="n">
        <f aca="false">L70*L71</f>
        <v>5.78571428571429</v>
      </c>
      <c r="M72" s="37" t="n">
        <f aca="false">M70*M71</f>
        <v>6.75</v>
      </c>
      <c r="P72" s="3" t="s">
        <v>332</v>
      </c>
      <c r="Q72" s="15" t="n">
        <f aca="false">Q71/(Tassi!$C$14-Input!$B$12)</f>
        <v>135.774072922326</v>
      </c>
    </row>
    <row r="73" customFormat="false" ht="15" hidden="false" customHeight="false" outlineLevel="0" collapsed="false">
      <c r="A73" s="8" t="s">
        <v>333</v>
      </c>
      <c r="D73" s="37" t="n">
        <f aca="false">(E70-D70)/Input!$J$64</f>
        <v>0</v>
      </c>
      <c r="E73" s="37" t="n">
        <f aca="false">(F70-E70)/Input!$J$64</f>
        <v>0</v>
      </c>
      <c r="F73" s="37" t="n">
        <f aca="false">(G70-F70)/Input!$J$64</f>
        <v>0.76530612244898</v>
      </c>
      <c r="G73" s="37" t="n">
        <f aca="false">(H70-G70)/Input!$J$64</f>
        <v>0.76530612244898</v>
      </c>
      <c r="H73" s="37" t="n">
        <f aca="false">(I70-H70)/Input!$J$64</f>
        <v>0.76530612244898</v>
      </c>
      <c r="I73" s="37" t="n">
        <f aca="false">(J70-I70)/Input!$J$64</f>
        <v>0.765306122448979</v>
      </c>
      <c r="J73" s="37" t="n">
        <f aca="false">(K70-J70)/Input!$J$64</f>
        <v>0.765306122448979</v>
      </c>
      <c r="K73" s="37" t="n">
        <f aca="false">(L70-K70)/Input!$J$64</f>
        <v>0.76530612244898</v>
      </c>
      <c r="L73" s="37" t="n">
        <f aca="false">(M70-L70)/Input!$J$64</f>
        <v>0.765306122448979</v>
      </c>
      <c r="M73" s="37" t="n">
        <f aca="false">(N70-M70)/Input!$J$64</f>
        <v>0.222321428571429</v>
      </c>
      <c r="P73" s="3" t="s">
        <v>334</v>
      </c>
      <c r="Q73" s="15" t="n">
        <f aca="false">SUMPRODUCT($D74:$M74,Tassi!$D$29:$M$29)+Q72*Tassi!$M$29</f>
        <v>68.8498165052752</v>
      </c>
    </row>
    <row r="74" customFormat="false" ht="15" hidden="false" customHeight="false" outlineLevel="0" collapsed="false">
      <c r="A74" s="8" t="s">
        <v>335</v>
      </c>
      <c r="D74" s="37" t="n">
        <f aca="false">D72*(1-Input!$B$9)-D73</f>
        <v>0</v>
      </c>
      <c r="E74" s="37" t="n">
        <f aca="false">E72*(1-Input!$B$9)-E73</f>
        <v>0</v>
      </c>
      <c r="F74" s="37" t="n">
        <f aca="false">F72*(1-Input!$B$9)-F73</f>
        <v>-0.76530612244898</v>
      </c>
      <c r="G74" s="37" t="n">
        <f aca="false">G72*(1-Input!$B$9)-G73</f>
        <v>-0.0670025510204082</v>
      </c>
      <c r="H74" s="37" t="n">
        <f aca="false">H72*(1-Input!$B$9)-H73</f>
        <v>0.673622448979592</v>
      </c>
      <c r="I74" s="37" t="n">
        <f aca="false">I72*(1-Input!$B$9)-I73</f>
        <v>1.45656887755102</v>
      </c>
      <c r="J74" s="37" t="n">
        <f aca="false">J72*(1-Input!$B$9)-J73</f>
        <v>2.28183673469388</v>
      </c>
      <c r="K74" s="37" t="n">
        <f aca="false">K72*(1-Input!$B$9)-K73</f>
        <v>3.04362244897959</v>
      </c>
      <c r="L74" s="37" t="n">
        <f aca="false">L72*(1-Input!$B$9)-L73</f>
        <v>3.80540816326531</v>
      </c>
      <c r="M74" s="37" t="n">
        <f aca="false">M72*(1-Input!$B$9)-M73</f>
        <v>5.11017857142857</v>
      </c>
      <c r="P74" s="3" t="s">
        <v>336</v>
      </c>
      <c r="Q74" s="15" t="n">
        <f aca="false">SUMPRODUCT($D74:$M74,Tassi!$D$32:$M$32)+Q72*Tassi!$M$32</f>
        <v>72.481147647834</v>
      </c>
    </row>
    <row r="78" customFormat="false" ht="15" hidden="false" customHeight="false" outlineLevel="0" collapsed="false">
      <c r="A78" s="6" t="s">
        <v>345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customFormat="false" ht="15" hidden="false" customHeight="false" outlineLevel="0" collapsed="false">
      <c r="A79" s="8" t="s">
        <v>327</v>
      </c>
      <c r="C79" s="15" t="n">
        <f aca="false">IF(C$4&lt;Input!$D$65,0,IF(C$4&lt;=Input!$D$65,Input!$E$65,IF(C$4&gt;=2036,Input!$F$65,Input!$E$65+(Input!$F$65-Input!$E$65)*(C$4-Input!$D$65)/((2036)-(Input!$D$65)))))</f>
        <v>0</v>
      </c>
      <c r="D79" s="15" t="n">
        <f aca="false">IF(D$4&lt;Input!$D$65,0,IF(D$4&lt;=Input!$D$65,Input!$E$65,IF(D$4&gt;=2036,Input!$F$65,Input!$E$65+(Input!$F$65-Input!$E$65)*(D$4-Input!$D$65)/((2036)-(Input!$D$65)))))</f>
        <v>0</v>
      </c>
      <c r="E79" s="15" t="n">
        <f aca="false">IF(E$4&lt;Input!$D$65,0,IF(E$4&lt;=Input!$D$65,Input!$E$65,IF(E$4&gt;=2036,Input!$F$65,Input!$E$65+(Input!$F$65-Input!$E$65)*(E$4-Input!$D$65)/((2036)-(Input!$D$65)))))</f>
        <v>2.77777777777778</v>
      </c>
      <c r="F79" s="15" t="n">
        <f aca="false">IF(F$4&lt;Input!$D$65,0,IF(F$4&lt;=Input!$D$65,Input!$E$65,IF(F$4&gt;=2036,Input!$F$65,Input!$E$65+(Input!$F$65-Input!$E$65)*(F$4-Input!$D$65)/((2036)-(Input!$D$65)))))</f>
        <v>5.55555555555556</v>
      </c>
      <c r="G79" s="15" t="n">
        <f aca="false">IF(G$4&lt;Input!$D$65,0,IF(G$4&lt;=Input!$D$65,Input!$E$65,IF(G$4&gt;=2036,Input!$F$65,Input!$E$65+(Input!$F$65-Input!$E$65)*(G$4-Input!$D$65)/((2036)-(Input!$D$65)))))</f>
        <v>8.33333333333333</v>
      </c>
      <c r="H79" s="15" t="n">
        <f aca="false">IF(H$4&lt;Input!$D$65,0,IF(H$4&lt;=Input!$D$65,Input!$E$65,IF(H$4&gt;=2036,Input!$F$65,Input!$E$65+(Input!$F$65-Input!$E$65)*(H$4-Input!$D$65)/((2036)-(Input!$D$65)))))</f>
        <v>11.1111111111111</v>
      </c>
      <c r="I79" s="15" t="n">
        <f aca="false">IF(I$4&lt;Input!$D$65,0,IF(I$4&lt;=Input!$D$65,Input!$E$65,IF(I$4&gt;=2036,Input!$F$65,Input!$E$65+(Input!$F$65-Input!$E$65)*(I$4-Input!$D$65)/((2036)-(Input!$D$65)))))</f>
        <v>13.8888888888889</v>
      </c>
      <c r="J79" s="15" t="n">
        <f aca="false">IF(J$4&lt;Input!$D$65,0,IF(J$4&lt;=Input!$D$65,Input!$E$65,IF(J$4&gt;=2036,Input!$F$65,Input!$E$65+(Input!$F$65-Input!$E$65)*(J$4-Input!$D$65)/((2036)-(Input!$D$65)))))</f>
        <v>16.6666666666667</v>
      </c>
      <c r="K79" s="15" t="n">
        <f aca="false">IF(K$4&lt;Input!$D$65,0,IF(K$4&lt;=Input!$D$65,Input!$E$65,IF(K$4&gt;=2036,Input!$F$65,Input!$E$65+(Input!$F$65-Input!$E$65)*(K$4-Input!$D$65)/((2036)-(Input!$D$65)))))</f>
        <v>19.4444444444444</v>
      </c>
      <c r="L79" s="15" t="n">
        <f aca="false">IF(L$4&lt;Input!$D$65,0,IF(L$4&lt;=Input!$D$65,Input!$E$65,IF(L$4&gt;=2036,Input!$F$65,Input!$E$65+(Input!$F$65-Input!$E$65)*(L$4-Input!$D$65)/((2036)-(Input!$D$65)))))</f>
        <v>22.2222222222222</v>
      </c>
      <c r="M79" s="15" t="n">
        <f aca="false">IF(M$4&lt;Input!$D$65,0,IF(M$4&lt;=Input!$D$65,Input!$E$65,IF(M$4&gt;=2036,Input!$F$65,Input!$E$65+(Input!$F$65-Input!$E$65)*(M$4-Input!$D$65)/((2036)-(Input!$D$65)))))</f>
        <v>25</v>
      </c>
      <c r="N79" s="15" t="n">
        <f aca="false">M79*(1+Input!$B$12)</f>
        <v>26.0375</v>
      </c>
      <c r="P79" s="3" t="s">
        <v>328</v>
      </c>
      <c r="Q79" s="37" t="n">
        <f aca="false">N79*Input!$I$65*(1-Input!$B$9)</f>
        <v>7.19936875</v>
      </c>
    </row>
    <row r="80" customFormat="false" ht="15" hidden="false" customHeight="false" outlineLevel="0" collapsed="false">
      <c r="A80" s="8" t="s">
        <v>329</v>
      </c>
      <c r="D80" s="39" t="n">
        <f aca="false">IF(D$4&lt;=Input!$D$65,Input!$H$65,IF(D$4&gt;=(Input!$D$65+4),Input!$I$65,Input!$H$65+(Input!$I$65-Input!$H$65)*(D$4-Input!$D$65)/(((Input!$D$65+4))-(Input!$D$65))))</f>
        <v>0.1</v>
      </c>
      <c r="E80" s="39" t="n">
        <f aca="false">IF(E$4&lt;=Input!$D$65,Input!$H$65,IF(E$4&gt;=(Input!$D$65+4),Input!$I$65,Input!$H$65+(Input!$I$65-Input!$H$65)*(E$4-Input!$D$65)/(((Input!$D$65+4))-(Input!$D$65))))</f>
        <v>0.1625</v>
      </c>
      <c r="F80" s="39" t="n">
        <f aca="false">IF(F$4&lt;=Input!$D$65,Input!$H$65,IF(F$4&gt;=(Input!$D$65+4),Input!$I$65,Input!$H$65+(Input!$I$65-Input!$H$65)*(F$4-Input!$D$65)/(((Input!$D$65+4))-(Input!$D$65))))</f>
        <v>0.225</v>
      </c>
      <c r="G80" s="39" t="n">
        <f aca="false">IF(G$4&lt;=Input!$D$65,Input!$H$65,IF(G$4&gt;=(Input!$D$65+4),Input!$I$65,Input!$H$65+(Input!$I$65-Input!$H$65)*(G$4-Input!$D$65)/(((Input!$D$65+4))-(Input!$D$65))))</f>
        <v>0.2875</v>
      </c>
      <c r="H80" s="39" t="n">
        <f aca="false">IF(H$4&lt;=Input!$D$65,Input!$H$65,IF(H$4&gt;=(Input!$D$65+4),Input!$I$65,Input!$H$65+(Input!$I$65-Input!$H$65)*(H$4-Input!$D$65)/(((Input!$D$65+4))-(Input!$D$65))))</f>
        <v>0.35</v>
      </c>
      <c r="I80" s="39" t="n">
        <f aca="false">IF(I$4&lt;=Input!$D$65,Input!$H$65,IF(I$4&gt;=(Input!$D$65+4),Input!$I$65,Input!$H$65+(Input!$I$65-Input!$H$65)*(I$4-Input!$D$65)/(((Input!$D$65+4))-(Input!$D$65))))</f>
        <v>0.35</v>
      </c>
      <c r="J80" s="39" t="n">
        <f aca="false">IF(J$4&lt;=Input!$D$65,Input!$H$65,IF(J$4&gt;=(Input!$D$65+4),Input!$I$65,Input!$H$65+(Input!$I$65-Input!$H$65)*(J$4-Input!$D$65)/(((Input!$D$65+4))-(Input!$D$65))))</f>
        <v>0.35</v>
      </c>
      <c r="K80" s="39" t="n">
        <f aca="false">IF(K$4&lt;=Input!$D$65,Input!$H$65,IF(K$4&gt;=(Input!$D$65+4),Input!$I$65,Input!$H$65+(Input!$I$65-Input!$H$65)*(K$4-Input!$D$65)/(((Input!$D$65+4))-(Input!$D$65))))</f>
        <v>0.35</v>
      </c>
      <c r="L80" s="39" t="n">
        <f aca="false">IF(L$4&lt;=Input!$D$65,Input!$H$65,IF(L$4&gt;=(Input!$D$65+4),Input!$I$65,Input!$H$65+(Input!$I$65-Input!$H$65)*(L$4-Input!$D$65)/(((Input!$D$65+4))-(Input!$D$65))))</f>
        <v>0.35</v>
      </c>
      <c r="M80" s="39" t="n">
        <f aca="false">IF(M$4&lt;=Input!$D$65,Input!$H$65,IF(M$4&gt;=(Input!$D$65+4),Input!$I$65,Input!$H$65+(Input!$I$65-Input!$H$65)*(M$4-Input!$D$65)/(((Input!$D$65+4))-(Input!$D$65))))</f>
        <v>0.35</v>
      </c>
      <c r="P80" s="3" t="s">
        <v>330</v>
      </c>
      <c r="Q80" s="37" t="n">
        <f aca="false">Q79*(1-Input!$B$12/Input!$K$65)</f>
        <v>5.20754339583333</v>
      </c>
    </row>
    <row r="81" customFormat="false" ht="15" hidden="false" customHeight="false" outlineLevel="0" collapsed="false">
      <c r="A81" s="8" t="s">
        <v>331</v>
      </c>
      <c r="D81" s="37" t="n">
        <f aca="false">D79*D80</f>
        <v>0</v>
      </c>
      <c r="E81" s="37" t="n">
        <f aca="false">E79*E80</f>
        <v>0.451388888888889</v>
      </c>
      <c r="F81" s="37" t="n">
        <f aca="false">F79*F80</f>
        <v>1.25</v>
      </c>
      <c r="G81" s="37" t="n">
        <f aca="false">G79*G80</f>
        <v>2.39583333333333</v>
      </c>
      <c r="H81" s="37" t="n">
        <f aca="false">H79*H80</f>
        <v>3.88888888888889</v>
      </c>
      <c r="I81" s="37" t="n">
        <f aca="false">I79*I80</f>
        <v>4.86111111111111</v>
      </c>
      <c r="J81" s="37" t="n">
        <f aca="false">J79*J80</f>
        <v>5.83333333333333</v>
      </c>
      <c r="K81" s="37" t="n">
        <f aca="false">K79*K80</f>
        <v>6.80555555555555</v>
      </c>
      <c r="L81" s="37" t="n">
        <f aca="false">L79*L80</f>
        <v>7.77777777777778</v>
      </c>
      <c r="M81" s="37" t="n">
        <f aca="false">M79*M80</f>
        <v>8.75</v>
      </c>
      <c r="P81" s="3" t="s">
        <v>332</v>
      </c>
      <c r="Q81" s="15" t="n">
        <f aca="false">Q80/(Tassi!$C$14-Input!$B$12)</f>
        <v>165.455930019265</v>
      </c>
    </row>
    <row r="82" customFormat="false" ht="15" hidden="false" customHeight="false" outlineLevel="0" collapsed="false">
      <c r="A82" s="8" t="s">
        <v>333</v>
      </c>
      <c r="D82" s="37" t="n">
        <f aca="false">(E79-D79)/Input!$J$65</f>
        <v>1.85185185185185</v>
      </c>
      <c r="E82" s="37" t="n">
        <f aca="false">(F79-E79)/Input!$J$65</f>
        <v>1.85185185185185</v>
      </c>
      <c r="F82" s="37" t="n">
        <f aca="false">(G79-F79)/Input!$J$65</f>
        <v>1.85185185185185</v>
      </c>
      <c r="G82" s="37" t="n">
        <f aca="false">(H79-G79)/Input!$J$65</f>
        <v>1.85185185185185</v>
      </c>
      <c r="H82" s="37" t="n">
        <f aca="false">(I79-H79)/Input!$J$65</f>
        <v>1.85185185185185</v>
      </c>
      <c r="I82" s="37" t="n">
        <f aca="false">(J79-I79)/Input!$J$65</f>
        <v>1.85185185185185</v>
      </c>
      <c r="J82" s="37" t="n">
        <f aca="false">(K79-J79)/Input!$J$65</f>
        <v>1.85185185185185</v>
      </c>
      <c r="K82" s="37" t="n">
        <f aca="false">(L79-K79)/Input!$J$65</f>
        <v>1.85185185185185</v>
      </c>
      <c r="L82" s="37" t="n">
        <f aca="false">(M79-L79)/Input!$J$65</f>
        <v>1.85185185185185</v>
      </c>
      <c r="M82" s="37" t="n">
        <f aca="false">(N79-M79)/Input!$J$65</f>
        <v>0.691666666666668</v>
      </c>
      <c r="P82" s="3" t="s">
        <v>334</v>
      </c>
      <c r="Q82" s="15" t="n">
        <f aca="false">SUMPRODUCT($D83:$M83,Tassi!$D$29:$M$29)+Q81*Tassi!$M$29</f>
        <v>81.3385920921134</v>
      </c>
    </row>
    <row r="83" customFormat="false" ht="15" hidden="false" customHeight="false" outlineLevel="0" collapsed="false">
      <c r="A83" s="8" t="s">
        <v>335</v>
      </c>
      <c r="D83" s="37" t="n">
        <f aca="false">D81*(1-Input!$B$9)-D82</f>
        <v>-1.85185185185185</v>
      </c>
      <c r="E83" s="37" t="n">
        <f aca="false">E81*(1-Input!$B$9)-E82</f>
        <v>-1.49525462962963</v>
      </c>
      <c r="F83" s="37" t="n">
        <f aca="false">F81*(1-Input!$B$9)-F82</f>
        <v>-0.864351851851853</v>
      </c>
      <c r="G83" s="37" t="n">
        <f aca="false">G81*(1-Input!$B$9)-G82</f>
        <v>0.0408564814814822</v>
      </c>
      <c r="H83" s="37" t="n">
        <f aca="false">H81*(1-Input!$B$9)-H82</f>
        <v>1.22037037037037</v>
      </c>
      <c r="I83" s="37" t="n">
        <f aca="false">I81*(1-Input!$B$9)-I82</f>
        <v>1.98842592592593</v>
      </c>
      <c r="J83" s="37" t="n">
        <f aca="false">J81*(1-Input!$B$9)-J82</f>
        <v>2.75648148148148</v>
      </c>
      <c r="K83" s="37" t="n">
        <f aca="false">K81*(1-Input!$B$9)-K82</f>
        <v>3.52453703703704</v>
      </c>
      <c r="L83" s="37" t="n">
        <f aca="false">L81*(1-Input!$B$9)-L82</f>
        <v>4.29259259259259</v>
      </c>
      <c r="M83" s="37" t="n">
        <f aca="false">M81*(1-Input!$B$9)-M82</f>
        <v>6.22083333333333</v>
      </c>
      <c r="P83" s="3" t="s">
        <v>336</v>
      </c>
      <c r="Q83" s="15" t="n">
        <f aca="false">SUMPRODUCT($D83:$M83,Tassi!$D$32:$M$32)+Q81*Tassi!$M$32</f>
        <v>85.6631945475934</v>
      </c>
    </row>
    <row r="87" customFormat="false" ht="15" hidden="false" customHeight="false" outlineLevel="0" collapsed="false">
      <c r="A87" s="6" t="s">
        <v>346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customFormat="false" ht="15" hidden="false" customHeight="false" outlineLevel="0" collapsed="false">
      <c r="A88" s="8" t="s">
        <v>327</v>
      </c>
      <c r="C88" s="15" t="n">
        <f aca="false">IF(C$4&lt;Input!$D$66,0,IF(C$4&lt;=Input!$D$66,Input!$E$66,IF(C$4&gt;=2036,Input!$F$66,Input!$E$66+(Input!$F$66-Input!$E$66)*(C$4-Input!$D$66)/((2036)-(Input!$D$66)))))</f>
        <v>0</v>
      </c>
      <c r="D88" s="15" t="n">
        <f aca="false">IF(D$4&lt;Input!$D$66,0,IF(D$4&lt;=Input!$D$66,Input!$E$66,IF(D$4&gt;=2036,Input!$F$66,Input!$E$66+(Input!$F$66-Input!$E$66)*(D$4-Input!$D$66)/((2036)-(Input!$D$66)))))</f>
        <v>0</v>
      </c>
      <c r="E88" s="15" t="n">
        <f aca="false">IF(E$4&lt;Input!$D$66,0,IF(E$4&lt;=Input!$D$66,Input!$E$66,IF(E$4&gt;=2036,Input!$F$66,Input!$E$66+(Input!$F$66-Input!$E$66)*(E$4-Input!$D$66)/((2036)-(Input!$D$66)))))</f>
        <v>0</v>
      </c>
      <c r="F88" s="15" t="n">
        <f aca="false">IF(F$4&lt;Input!$D$66,0,IF(F$4&lt;=Input!$D$66,Input!$E$66,IF(F$4&gt;=2036,Input!$F$66,Input!$E$66+(Input!$F$66-Input!$E$66)*(F$4-Input!$D$66)/((2036)-(Input!$D$66)))))</f>
        <v>1.25</v>
      </c>
      <c r="G88" s="15" t="n">
        <f aca="false">IF(G$4&lt;Input!$D$66,0,IF(G$4&lt;=Input!$D$66,Input!$E$66,IF(G$4&gt;=2036,Input!$F$66,Input!$E$66+(Input!$F$66-Input!$E$66)*(G$4-Input!$D$66)/((2036)-(Input!$D$66)))))</f>
        <v>2.5</v>
      </c>
      <c r="H88" s="15" t="n">
        <f aca="false">IF(H$4&lt;Input!$D$66,0,IF(H$4&lt;=Input!$D$66,Input!$E$66,IF(H$4&gt;=2036,Input!$F$66,Input!$E$66+(Input!$F$66-Input!$E$66)*(H$4-Input!$D$66)/((2036)-(Input!$D$66)))))</f>
        <v>3.75</v>
      </c>
      <c r="I88" s="15" t="n">
        <f aca="false">IF(I$4&lt;Input!$D$66,0,IF(I$4&lt;=Input!$D$66,Input!$E$66,IF(I$4&gt;=2036,Input!$F$66,Input!$E$66+(Input!$F$66-Input!$E$66)*(I$4-Input!$D$66)/((2036)-(Input!$D$66)))))</f>
        <v>5</v>
      </c>
      <c r="J88" s="15" t="n">
        <f aca="false">IF(J$4&lt;Input!$D$66,0,IF(J$4&lt;=Input!$D$66,Input!$E$66,IF(J$4&gt;=2036,Input!$F$66,Input!$E$66+(Input!$F$66-Input!$E$66)*(J$4-Input!$D$66)/((2036)-(Input!$D$66)))))</f>
        <v>6.25</v>
      </c>
      <c r="K88" s="15" t="n">
        <f aca="false">IF(K$4&lt;Input!$D$66,0,IF(K$4&lt;=Input!$D$66,Input!$E$66,IF(K$4&gt;=2036,Input!$F$66,Input!$E$66+(Input!$F$66-Input!$E$66)*(K$4-Input!$D$66)/((2036)-(Input!$D$66)))))</f>
        <v>7.5</v>
      </c>
      <c r="L88" s="15" t="n">
        <f aca="false">IF(L$4&lt;Input!$D$66,0,IF(L$4&lt;=Input!$D$66,Input!$E$66,IF(L$4&gt;=2036,Input!$F$66,Input!$E$66+(Input!$F$66-Input!$E$66)*(L$4-Input!$D$66)/((2036)-(Input!$D$66)))))</f>
        <v>8.75</v>
      </c>
      <c r="M88" s="15" t="n">
        <f aca="false">IF(M$4&lt;Input!$D$66,0,IF(M$4&lt;=Input!$D$66,Input!$E$66,IF(M$4&gt;=2036,Input!$F$66,Input!$E$66+(Input!$F$66-Input!$E$66)*(M$4-Input!$D$66)/((2036)-(Input!$D$66)))))</f>
        <v>10</v>
      </c>
      <c r="N88" s="15" t="n">
        <f aca="false">M88*(1+Input!$B$12)</f>
        <v>10.415</v>
      </c>
      <c r="P88" s="3" t="s">
        <v>328</v>
      </c>
      <c r="Q88" s="37" t="n">
        <f aca="false">N88*Input!$I$66*(1-Input!$B$9)</f>
        <v>3.29114</v>
      </c>
    </row>
    <row r="89" customFormat="false" ht="15" hidden="false" customHeight="false" outlineLevel="0" collapsed="false">
      <c r="A89" s="8" t="s">
        <v>329</v>
      </c>
      <c r="D89" s="39" t="n">
        <f aca="false">IF(D$4&lt;=Input!$D$66,Input!$H$66,IF(D$4&gt;=(Input!$D$66+4),Input!$I$66,Input!$H$66+(Input!$I$66-Input!$H$66)*(D$4-Input!$D$66)/(((Input!$D$66+4))-(Input!$D$66))))</f>
        <v>0.25</v>
      </c>
      <c r="E89" s="39" t="n">
        <f aca="false">IF(E$4&lt;=Input!$D$66,Input!$H$66,IF(E$4&gt;=(Input!$D$66+4),Input!$I$66,Input!$H$66+(Input!$I$66-Input!$H$66)*(E$4-Input!$D$66)/(((Input!$D$66+4))-(Input!$D$66))))</f>
        <v>0.25</v>
      </c>
      <c r="F89" s="39" t="n">
        <f aca="false">IF(F$4&lt;=Input!$D$66,Input!$H$66,IF(F$4&gt;=(Input!$D$66+4),Input!$I$66,Input!$H$66+(Input!$I$66-Input!$H$66)*(F$4-Input!$D$66)/(((Input!$D$66+4))-(Input!$D$66))))</f>
        <v>0.2875</v>
      </c>
      <c r="G89" s="39" t="n">
        <f aca="false">IF(G$4&lt;=Input!$D$66,Input!$H$66,IF(G$4&gt;=(Input!$D$66+4),Input!$I$66,Input!$H$66+(Input!$I$66-Input!$H$66)*(G$4-Input!$D$66)/(((Input!$D$66+4))-(Input!$D$66))))</f>
        <v>0.325</v>
      </c>
      <c r="H89" s="39" t="n">
        <f aca="false">IF(H$4&lt;=Input!$D$66,Input!$H$66,IF(H$4&gt;=(Input!$D$66+4),Input!$I$66,Input!$H$66+(Input!$I$66-Input!$H$66)*(H$4-Input!$D$66)/(((Input!$D$66+4))-(Input!$D$66))))</f>
        <v>0.3625</v>
      </c>
      <c r="I89" s="39" t="n">
        <f aca="false">IF(I$4&lt;=Input!$D$66,Input!$H$66,IF(I$4&gt;=(Input!$D$66+4),Input!$I$66,Input!$H$66+(Input!$I$66-Input!$H$66)*(I$4-Input!$D$66)/(((Input!$D$66+4))-(Input!$D$66))))</f>
        <v>0.4</v>
      </c>
      <c r="J89" s="39" t="n">
        <f aca="false">IF(J$4&lt;=Input!$D$66,Input!$H$66,IF(J$4&gt;=(Input!$D$66+4),Input!$I$66,Input!$H$66+(Input!$I$66-Input!$H$66)*(J$4-Input!$D$66)/(((Input!$D$66+4))-(Input!$D$66))))</f>
        <v>0.4</v>
      </c>
      <c r="K89" s="39" t="n">
        <f aca="false">IF(K$4&lt;=Input!$D$66,Input!$H$66,IF(K$4&gt;=(Input!$D$66+4),Input!$I$66,Input!$H$66+(Input!$I$66-Input!$H$66)*(K$4-Input!$D$66)/(((Input!$D$66+4))-(Input!$D$66))))</f>
        <v>0.4</v>
      </c>
      <c r="L89" s="39" t="n">
        <f aca="false">IF(L$4&lt;=Input!$D$66,Input!$H$66,IF(L$4&gt;=(Input!$D$66+4),Input!$I$66,Input!$H$66+(Input!$I$66-Input!$H$66)*(L$4-Input!$D$66)/(((Input!$D$66+4))-(Input!$D$66))))</f>
        <v>0.4</v>
      </c>
      <c r="M89" s="39" t="n">
        <f aca="false">IF(M$4&lt;=Input!$D$66,Input!$H$66,IF(M$4&gt;=(Input!$D$66+4),Input!$I$66,Input!$H$66+(Input!$I$66-Input!$H$66)*(M$4-Input!$D$66)/(((Input!$D$66+4))-(Input!$D$66))))</f>
        <v>0.4</v>
      </c>
      <c r="P89" s="3" t="s">
        <v>330</v>
      </c>
      <c r="Q89" s="37" t="n">
        <f aca="false">Q88*(1-Input!$B$12/Input!$K$66)</f>
        <v>2.53234938888889</v>
      </c>
    </row>
    <row r="90" customFormat="false" ht="15" hidden="false" customHeight="false" outlineLevel="0" collapsed="false">
      <c r="A90" s="8" t="s">
        <v>331</v>
      </c>
      <c r="D90" s="37" t="n">
        <f aca="false">D88*D89</f>
        <v>0</v>
      </c>
      <c r="E90" s="37" t="n">
        <f aca="false">E88*E89</f>
        <v>0</v>
      </c>
      <c r="F90" s="37" t="n">
        <f aca="false">F88*F89</f>
        <v>0.359375</v>
      </c>
      <c r="G90" s="37" t="n">
        <f aca="false">G88*G89</f>
        <v>0.8125</v>
      </c>
      <c r="H90" s="37" t="n">
        <f aca="false">H88*H89</f>
        <v>1.359375</v>
      </c>
      <c r="I90" s="37" t="n">
        <f aca="false">I88*I89</f>
        <v>2</v>
      </c>
      <c r="J90" s="37" t="n">
        <f aca="false">J88*J89</f>
        <v>2.5</v>
      </c>
      <c r="K90" s="37" t="n">
        <f aca="false">K88*K89</f>
        <v>3</v>
      </c>
      <c r="L90" s="37" t="n">
        <f aca="false">L88*L89</f>
        <v>3.5</v>
      </c>
      <c r="M90" s="37" t="n">
        <f aca="false">M88*M89</f>
        <v>4</v>
      </c>
      <c r="P90" s="3" t="s">
        <v>332</v>
      </c>
      <c r="Q90" s="15" t="n">
        <f aca="false">Q89/(Tassi!$C$14-Input!$B$12)</f>
        <v>80.458709879897</v>
      </c>
    </row>
    <row r="91" customFormat="false" ht="15" hidden="false" customHeight="false" outlineLevel="0" collapsed="false">
      <c r="A91" s="8" t="s">
        <v>333</v>
      </c>
      <c r="D91" s="37" t="n">
        <f aca="false">(E88-D88)/Input!$J$66</f>
        <v>0</v>
      </c>
      <c r="E91" s="37" t="n">
        <f aca="false">(F88-E88)/Input!$J$66</f>
        <v>0.446428571428571</v>
      </c>
      <c r="F91" s="37" t="n">
        <f aca="false">(G88-F88)/Input!$J$66</f>
        <v>0.446428571428571</v>
      </c>
      <c r="G91" s="37" t="n">
        <f aca="false">(H88-G88)/Input!$J$66</f>
        <v>0.446428571428571</v>
      </c>
      <c r="H91" s="37" t="n">
        <f aca="false">(I88-H88)/Input!$J$66</f>
        <v>0.446428571428571</v>
      </c>
      <c r="I91" s="37" t="n">
        <f aca="false">(J88-I88)/Input!$J$66</f>
        <v>0.446428571428571</v>
      </c>
      <c r="J91" s="37" t="n">
        <f aca="false">(K88-J88)/Input!$J$66</f>
        <v>0.446428571428571</v>
      </c>
      <c r="K91" s="37" t="n">
        <f aca="false">(L88-K88)/Input!$J$66</f>
        <v>0.446428571428571</v>
      </c>
      <c r="L91" s="37" t="n">
        <f aca="false">(M88-L88)/Input!$J$66</f>
        <v>0.446428571428571</v>
      </c>
      <c r="M91" s="37" t="n">
        <f aca="false">(N88-M88)/Input!$J$66</f>
        <v>0.148214285714286</v>
      </c>
      <c r="P91" s="3" t="s">
        <v>334</v>
      </c>
      <c r="Q91" s="15" t="n">
        <f aca="false">SUMPRODUCT($D92:$M92,Tassi!$D$29:$M$29)+Q90*Tassi!$M$29</f>
        <v>41.3151217743407</v>
      </c>
    </row>
    <row r="92" customFormat="false" ht="15" hidden="false" customHeight="false" outlineLevel="0" collapsed="false">
      <c r="A92" s="8" t="s">
        <v>335</v>
      </c>
      <c r="D92" s="37" t="n">
        <f aca="false">D90*(1-Input!$B$9)-D91</f>
        <v>0</v>
      </c>
      <c r="E92" s="37" t="n">
        <f aca="false">E90*(1-Input!$B$9)-E91</f>
        <v>-0.446428571428571</v>
      </c>
      <c r="F92" s="37" t="n">
        <f aca="false">F90*(1-Input!$B$9)-F91</f>
        <v>-0.162522321428571</v>
      </c>
      <c r="G92" s="37" t="n">
        <f aca="false">G90*(1-Input!$B$9)-G91</f>
        <v>0.195446428571429</v>
      </c>
      <c r="H92" s="37" t="n">
        <f aca="false">H90*(1-Input!$B$9)-H91</f>
        <v>0.627477678571429</v>
      </c>
      <c r="I92" s="37" t="n">
        <f aca="false">I90*(1-Input!$B$9)-I91</f>
        <v>1.13357142857143</v>
      </c>
      <c r="J92" s="37" t="n">
        <f aca="false">J90*(1-Input!$B$9)-J91</f>
        <v>1.52857142857143</v>
      </c>
      <c r="K92" s="37" t="n">
        <f aca="false">K90*(1-Input!$B$9)-K91</f>
        <v>1.92357142857143</v>
      </c>
      <c r="L92" s="37" t="n">
        <f aca="false">L90*(1-Input!$B$9)-L91</f>
        <v>2.31857142857143</v>
      </c>
      <c r="M92" s="37" t="n">
        <f aca="false">M90*(1-Input!$B$9)-M91</f>
        <v>3.01178571428571</v>
      </c>
      <c r="P92" s="3" t="s">
        <v>336</v>
      </c>
      <c r="Q92" s="15" t="n">
        <f aca="false">SUMPRODUCT($D92:$M92,Tassi!$D$32:$M$32)+Q90*Tassi!$M$32</f>
        <v>43.4941964033381</v>
      </c>
    </row>
    <row r="96" customFormat="false" ht="15" hidden="false" customHeight="false" outlineLevel="0" collapsed="false">
      <c r="A96" s="6" t="s">
        <v>347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customFormat="false" ht="15" hidden="false" customHeight="false" outlineLevel="0" collapsed="false">
      <c r="A97" s="8" t="s">
        <v>327</v>
      </c>
      <c r="C97" s="10" t="n">
        <f aca="false">Input!$E$67</f>
        <v>17</v>
      </c>
      <c r="D97" s="10" t="n">
        <f aca="false">Input!$G$67</f>
        <v>30</v>
      </c>
      <c r="E97" s="15" t="n">
        <f aca="false">D97*(1+((Input!$F$67/$D97)^(1/9)-1))</f>
        <v>32.4017921667692</v>
      </c>
      <c r="F97" s="15" t="n">
        <f aca="false">E97*(1+((Input!$F$67/$D97)^(1/9)-1))</f>
        <v>34.9958711872835</v>
      </c>
      <c r="G97" s="15" t="n">
        <f aca="false">F97*(1+((Input!$F$67/$D97)^(1/9)-1))</f>
        <v>37.7976314968462</v>
      </c>
      <c r="H97" s="15" t="n">
        <f aca="false">G97*(1+((Input!$F$67/$D97)^(1/9)-1))</f>
        <v>40.8237000052313</v>
      </c>
      <c r="I97" s="15" t="n">
        <f aca="false">H97*(1+((Input!$F$67/$D97)^(1/9)-1))</f>
        <v>44.092034768268</v>
      </c>
      <c r="J97" s="15" t="n">
        <f aca="false">I97*(1+((Input!$F$67/$D97)^(1/9)-1))</f>
        <v>47.622031559046</v>
      </c>
      <c r="K97" s="15" t="n">
        <f aca="false">J97*(1+((Input!$F$67/$D97)^(1/9)-1))</f>
        <v>51.4346389711844</v>
      </c>
      <c r="L97" s="15" t="n">
        <f aca="false">K97*(1+((Input!$F$67/$D97)^(1/9)-1))</f>
        <v>55.5524827372374</v>
      </c>
      <c r="M97" s="15" t="n">
        <f aca="false">L97*(1+((Input!$F$67/$D97)^(1/9)-1))</f>
        <v>60</v>
      </c>
      <c r="N97" s="15" t="n">
        <f aca="false">M97*(1+Input!$B$12)</f>
        <v>62.49</v>
      </c>
      <c r="P97" s="3" t="s">
        <v>328</v>
      </c>
      <c r="Q97" s="37" t="n">
        <f aca="false">N97*Input!$I$67*(1-Input!$B$9)</f>
        <v>2.468355</v>
      </c>
    </row>
    <row r="98" customFormat="false" ht="15" hidden="false" customHeight="false" outlineLevel="0" collapsed="false">
      <c r="A98" s="8" t="s">
        <v>329</v>
      </c>
      <c r="D98" s="39" t="n">
        <f aca="false">IF(D$4&lt;=2027,Input!$H$67,IF(D$4&gt;=(2027+4),Input!$I$67,Input!$H$67+(Input!$I$67-Input!$H$67)*(D$4-2027)/(((2027+4))-(2027))))</f>
        <v>-0.05</v>
      </c>
      <c r="E98" s="39" t="n">
        <f aca="false">IF(E$4&lt;=2027,Input!$H$67,IF(E$4&gt;=(2027+4),Input!$I$67,Input!$H$67+(Input!$I$67-Input!$H$67)*(E$4-2027)/(((2027+4))-(2027))))</f>
        <v>-0.025</v>
      </c>
      <c r="F98" s="39" t="n">
        <f aca="false">IF(F$4&lt;=2027,Input!$H$67,IF(F$4&gt;=(2027+4),Input!$I$67,Input!$H$67+(Input!$I$67-Input!$H$67)*(F$4-2027)/(((2027+4))-(2027))))</f>
        <v>0</v>
      </c>
      <c r="G98" s="39" t="n">
        <f aca="false">IF(G$4&lt;=2027,Input!$H$67,IF(G$4&gt;=(2027+4),Input!$I$67,Input!$H$67+(Input!$I$67-Input!$H$67)*(G$4-2027)/(((2027+4))-(2027))))</f>
        <v>0.025</v>
      </c>
      <c r="H98" s="39" t="n">
        <f aca="false">IF(H$4&lt;=2027,Input!$H$67,IF(H$4&gt;=(2027+4),Input!$I$67,Input!$H$67+(Input!$I$67-Input!$H$67)*(H$4-2027)/(((2027+4))-(2027))))</f>
        <v>0.05</v>
      </c>
      <c r="I98" s="39" t="n">
        <f aca="false">IF(I$4&lt;=2027,Input!$H$67,IF(I$4&gt;=(2027+4),Input!$I$67,Input!$H$67+(Input!$I$67-Input!$H$67)*(I$4-2027)/(((2027+4))-(2027))))</f>
        <v>0.05</v>
      </c>
      <c r="J98" s="39" t="n">
        <f aca="false">IF(J$4&lt;=2027,Input!$H$67,IF(J$4&gt;=(2027+4),Input!$I$67,Input!$H$67+(Input!$I$67-Input!$H$67)*(J$4-2027)/(((2027+4))-(2027))))</f>
        <v>0.05</v>
      </c>
      <c r="K98" s="39" t="n">
        <f aca="false">IF(K$4&lt;=2027,Input!$H$67,IF(K$4&gt;=(2027+4),Input!$I$67,Input!$H$67+(Input!$I$67-Input!$H$67)*(K$4-2027)/(((2027+4))-(2027))))</f>
        <v>0.05</v>
      </c>
      <c r="L98" s="39" t="n">
        <f aca="false">IF(L$4&lt;=2027,Input!$H$67,IF(L$4&gt;=(2027+4),Input!$I$67,Input!$H$67+(Input!$I$67-Input!$H$67)*(L$4-2027)/(((2027+4))-(2027))))</f>
        <v>0.05</v>
      </c>
      <c r="M98" s="39" t="n">
        <f aca="false">IF(M$4&lt;=2027,Input!$H$67,IF(M$4&gt;=(2027+4),Input!$I$67,Input!$H$67+(Input!$I$67-Input!$H$67)*(M$4-2027)/(((2027+4))-(2027))))</f>
        <v>0.05</v>
      </c>
      <c r="P98" s="3" t="s">
        <v>330</v>
      </c>
      <c r="Q98" s="37" t="n">
        <f aca="false">Q97*(1-Input!$B$12/Input!$K$67)</f>
        <v>0.41962035</v>
      </c>
    </row>
    <row r="99" customFormat="false" ht="15" hidden="false" customHeight="false" outlineLevel="0" collapsed="false">
      <c r="A99" s="8" t="s">
        <v>331</v>
      </c>
      <c r="D99" s="37" t="n">
        <f aca="false">D97*D98</f>
        <v>-1.5</v>
      </c>
      <c r="E99" s="37" t="n">
        <f aca="false">E97*E98</f>
        <v>-0.81004480416923</v>
      </c>
      <c r="F99" s="37" t="n">
        <f aca="false">F97*F98</f>
        <v>0</v>
      </c>
      <c r="G99" s="37" t="n">
        <f aca="false">G97*G98</f>
        <v>0.944940787421155</v>
      </c>
      <c r="H99" s="37" t="n">
        <f aca="false">H97*H98</f>
        <v>2.04118500026157</v>
      </c>
      <c r="I99" s="37" t="n">
        <f aca="false">I97*I98</f>
        <v>2.2046017384134</v>
      </c>
      <c r="J99" s="37" t="n">
        <f aca="false">J97*J98</f>
        <v>2.3811015779523</v>
      </c>
      <c r="K99" s="37" t="n">
        <f aca="false">K97*K98</f>
        <v>2.57173194855922</v>
      </c>
      <c r="L99" s="37" t="n">
        <f aca="false">L97*L98</f>
        <v>2.77762413686187</v>
      </c>
      <c r="M99" s="37" t="n">
        <f aca="false">M97*M98</f>
        <v>3</v>
      </c>
      <c r="P99" s="3" t="s">
        <v>332</v>
      </c>
      <c r="Q99" s="15" t="n">
        <f aca="false">Q98/(Tassi!$D$14-Input!$B$12)</f>
        <v>6.62803684731772</v>
      </c>
    </row>
    <row r="100" customFormat="false" ht="15" hidden="false" customHeight="false" outlineLevel="0" collapsed="false">
      <c r="A100" s="8" t="s">
        <v>333</v>
      </c>
      <c r="D100" s="37" t="n">
        <f aca="false">(E97-D97)/Input!$J$67</f>
        <v>4.80358433353837</v>
      </c>
      <c r="E100" s="37" t="n">
        <f aca="false">(F97-E97)/Input!$J$67</f>
        <v>5.18815804102862</v>
      </c>
      <c r="F100" s="37" t="n">
        <f aca="false">(G97-F97)/Input!$J$67</f>
        <v>5.60352061912539</v>
      </c>
      <c r="G100" s="37" t="n">
        <f aca="false">(H97-G97)/Input!$J$67</f>
        <v>6.05213701677022</v>
      </c>
      <c r="H100" s="37" t="n">
        <f aca="false">(I97-H97)/Input!$J$67</f>
        <v>6.53666952607331</v>
      </c>
      <c r="I100" s="37" t="n">
        <f aca="false">(J97-I97)/Input!$J$67</f>
        <v>7.05999358155603</v>
      </c>
      <c r="J100" s="37" t="n">
        <f aca="false">(K97-J97)/Input!$J$67</f>
        <v>7.62521482427677</v>
      </c>
      <c r="K100" s="37" t="n">
        <f aca="false">(L97-K97)/Input!$J$67</f>
        <v>8.2356875321061</v>
      </c>
      <c r="L100" s="37" t="n">
        <f aca="false">(M97-L97)/Input!$J$67</f>
        <v>8.89503452552513</v>
      </c>
      <c r="M100" s="37" t="n">
        <f aca="false">(N97-M97)/Input!$J$67</f>
        <v>4.98</v>
      </c>
      <c r="P100" s="3" t="s">
        <v>334</v>
      </c>
      <c r="Q100" s="15" t="n">
        <f aca="false">SUMPRODUCT($D101:$M101,Tassi!$D$35:$M$35)+Q99*Tassi!$M$35</f>
        <v>-27.9561328124034</v>
      </c>
    </row>
    <row r="101" customFormat="false" ht="15" hidden="false" customHeight="false" outlineLevel="0" collapsed="false">
      <c r="A101" s="8" t="s">
        <v>335</v>
      </c>
      <c r="D101" s="37" t="n">
        <f aca="false">D99*(1-Input!$B$9)-D100</f>
        <v>-5.98858433353837</v>
      </c>
      <c r="E101" s="37" t="n">
        <f aca="false">E99*(1-Input!$B$9)-E100</f>
        <v>-5.82809343632231</v>
      </c>
      <c r="F101" s="37" t="n">
        <f aca="false">F99*(1-Input!$B$9)-F100</f>
        <v>-5.60352061912539</v>
      </c>
      <c r="G101" s="37" t="n">
        <f aca="false">G99*(1-Input!$B$9)-G100</f>
        <v>-5.3056337947075</v>
      </c>
      <c r="H101" s="37" t="n">
        <f aca="false">H99*(1-Input!$B$9)-H100</f>
        <v>-4.92413337586667</v>
      </c>
      <c r="I101" s="37" t="n">
        <f aca="false">I99*(1-Input!$B$9)-I100</f>
        <v>-5.31835820820944</v>
      </c>
      <c r="J101" s="37" t="n">
        <f aca="false">J99*(1-Input!$B$9)-J100</f>
        <v>-5.74414457769445</v>
      </c>
      <c r="K101" s="37" t="n">
        <f aca="false">K99*(1-Input!$B$9)-K100</f>
        <v>-6.20401929274432</v>
      </c>
      <c r="L101" s="37" t="n">
        <f aca="false">L99*(1-Input!$B$9)-L100</f>
        <v>-6.70071145740426</v>
      </c>
      <c r="M101" s="37" t="n">
        <f aca="false">M99*(1-Input!$B$9)-M100</f>
        <v>-2.61000000000001</v>
      </c>
      <c r="P101" s="3" t="s">
        <v>336</v>
      </c>
      <c r="Q101" s="15" t="n">
        <f aca="false">SUMPRODUCT($D101:$M101,Tassi!$D$38:$M$38)+Q99*Tassi!$M$38</f>
        <v>-29.1561388843466</v>
      </c>
    </row>
    <row r="102" customFormat="false" ht="15" hidden="false" customHeight="false" outlineLevel="0" collapsed="false">
      <c r="P102" s="3" t="s">
        <v>348</v>
      </c>
      <c r="Q102" s="15" t="n">
        <f aca="false">SUMPRODUCT($D101:$M101,Tassi!$D$41:$M$41)+Q98/(Tassi!$E$14-Input!$B$12)*Tassi!$M$41</f>
        <v>-27.9408033721734</v>
      </c>
    </row>
    <row r="106" customFormat="false" ht="15" hidden="false" customHeight="false" outlineLevel="0" collapsed="false">
      <c r="A106" s="6" t="s">
        <v>349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customFormat="false" ht="15" hidden="false" customHeight="false" outlineLevel="0" collapsed="false">
      <c r="A107" s="8" t="s">
        <v>327</v>
      </c>
      <c r="C107" s="15" t="n">
        <f aca="false">IF(C$4&lt;Input!$D$68,0,IF(C$4&lt;=Input!$D$68,Input!$E$68,IF(C$4&gt;=2036,Input!$F$68,Input!$E$68+(Input!$F$68-Input!$E$68)*(C$4-Input!$D$68)/((2036)-(Input!$D$68)))))</f>
        <v>0</v>
      </c>
      <c r="D107" s="15" t="n">
        <f aca="false">IF(D$4&lt;Input!$D$68,0,IF(D$4&lt;=Input!$D$68,Input!$E$68,IF(D$4&gt;=2036,Input!$F$68,Input!$E$68+(Input!$F$68-Input!$E$68)*(D$4-Input!$D$68)/((2036)-(Input!$D$68)))))</f>
        <v>15</v>
      </c>
      <c r="E107" s="15" t="n">
        <f aca="false">IF(E$4&lt;Input!$D$68,0,IF(E$4&lt;=Input!$D$68,Input!$E$68,IF(E$4&gt;=2036,Input!$F$68,Input!$E$68+(Input!$F$68-Input!$E$68)*(E$4-Input!$D$68)/((2036)-(Input!$D$68)))))</f>
        <v>23.3333333333333</v>
      </c>
      <c r="F107" s="15" t="n">
        <f aca="false">IF(F$4&lt;Input!$D$68,0,IF(F$4&lt;=Input!$D$68,Input!$E$68,IF(F$4&gt;=2036,Input!$F$68,Input!$E$68+(Input!$F$68-Input!$E$68)*(F$4-Input!$D$68)/((2036)-(Input!$D$68)))))</f>
        <v>31.6666666666667</v>
      </c>
      <c r="G107" s="15" t="n">
        <f aca="false">IF(G$4&lt;Input!$D$68,0,IF(G$4&lt;=Input!$D$68,Input!$E$68,IF(G$4&gt;=2036,Input!$F$68,Input!$E$68+(Input!$F$68-Input!$E$68)*(G$4-Input!$D$68)/((2036)-(Input!$D$68)))))</f>
        <v>40</v>
      </c>
      <c r="H107" s="15" t="n">
        <f aca="false">IF(H$4&lt;Input!$D$68,0,IF(H$4&lt;=Input!$D$68,Input!$E$68,IF(H$4&gt;=2036,Input!$F$68,Input!$E$68+(Input!$F$68-Input!$E$68)*(H$4-Input!$D$68)/((2036)-(Input!$D$68)))))</f>
        <v>48.3333333333333</v>
      </c>
      <c r="I107" s="15" t="n">
        <f aca="false">IF(I$4&lt;Input!$D$68,0,IF(I$4&lt;=Input!$D$68,Input!$E$68,IF(I$4&gt;=2036,Input!$F$68,Input!$E$68+(Input!$F$68-Input!$E$68)*(I$4-Input!$D$68)/((2036)-(Input!$D$68)))))</f>
        <v>56.6666666666667</v>
      </c>
      <c r="J107" s="15" t="n">
        <f aca="false">IF(J$4&lt;Input!$D$68,0,IF(J$4&lt;=Input!$D$68,Input!$E$68,IF(J$4&gt;=2036,Input!$F$68,Input!$E$68+(Input!$F$68-Input!$E$68)*(J$4-Input!$D$68)/((2036)-(Input!$D$68)))))</f>
        <v>65</v>
      </c>
      <c r="K107" s="15" t="n">
        <f aca="false">IF(K$4&lt;Input!$D$68,0,IF(K$4&lt;=Input!$D$68,Input!$E$68,IF(K$4&gt;=2036,Input!$F$68,Input!$E$68+(Input!$F$68-Input!$E$68)*(K$4-Input!$D$68)/((2036)-(Input!$D$68)))))</f>
        <v>73.3333333333333</v>
      </c>
      <c r="L107" s="15" t="n">
        <f aca="false">IF(L$4&lt;Input!$D$68,0,IF(L$4&lt;=Input!$D$68,Input!$E$68,IF(L$4&gt;=2036,Input!$F$68,Input!$E$68+(Input!$F$68-Input!$E$68)*(L$4-Input!$D$68)/((2036)-(Input!$D$68)))))</f>
        <v>81.6666666666667</v>
      </c>
      <c r="M107" s="15" t="n">
        <f aca="false">IF(M$4&lt;Input!$D$68,0,IF(M$4&lt;=Input!$D$68,Input!$E$68,IF(M$4&gt;=2036,Input!$F$68,Input!$E$68+(Input!$F$68-Input!$E$68)*(M$4-Input!$D$68)/((2036)-(Input!$D$68)))))</f>
        <v>90</v>
      </c>
      <c r="N107" s="15" t="n">
        <f aca="false">M107*(1+Input!$B$12)</f>
        <v>93.735</v>
      </c>
      <c r="P107" s="3" t="s">
        <v>328</v>
      </c>
      <c r="Q107" s="37" t="n">
        <f aca="false">N107*Input!$I$68*(1-Input!$B$9)</f>
        <v>12.5886105</v>
      </c>
    </row>
    <row r="108" customFormat="false" ht="15" hidden="false" customHeight="false" outlineLevel="0" collapsed="false">
      <c r="A108" s="8" t="s">
        <v>329</v>
      </c>
      <c r="D108" s="39" t="n">
        <f aca="false">IF(D$4&lt;=Input!$D$68,Input!$H$68,IF(D$4&gt;=(Input!$D$68+4),Input!$I$68,Input!$H$68+(Input!$I$68-Input!$H$68)*(D$4-Input!$D$68)/(((Input!$D$68+4))-(Input!$D$68))))</f>
        <v>0.05</v>
      </c>
      <c r="E108" s="39" t="n">
        <f aca="false">IF(E$4&lt;=Input!$D$68,Input!$H$68,IF(E$4&gt;=(Input!$D$68+4),Input!$I$68,Input!$H$68+(Input!$I$68-Input!$H$68)*(E$4-Input!$D$68)/(((Input!$D$68+4))-(Input!$D$68))))</f>
        <v>0.08</v>
      </c>
      <c r="F108" s="39" t="n">
        <f aca="false">IF(F$4&lt;=Input!$D$68,Input!$H$68,IF(F$4&gt;=(Input!$D$68+4),Input!$I$68,Input!$H$68+(Input!$I$68-Input!$H$68)*(F$4-Input!$D$68)/(((Input!$D$68+4))-(Input!$D$68))))</f>
        <v>0.11</v>
      </c>
      <c r="G108" s="39" t="n">
        <f aca="false">IF(G$4&lt;=Input!$D$68,Input!$H$68,IF(G$4&gt;=(Input!$D$68+4),Input!$I$68,Input!$H$68+(Input!$I$68-Input!$H$68)*(G$4-Input!$D$68)/(((Input!$D$68+4))-(Input!$D$68))))</f>
        <v>0.14</v>
      </c>
      <c r="H108" s="39" t="n">
        <f aca="false">IF(H$4&lt;=Input!$D$68,Input!$H$68,IF(H$4&gt;=(Input!$D$68+4),Input!$I$68,Input!$H$68+(Input!$I$68-Input!$H$68)*(H$4-Input!$D$68)/(((Input!$D$68+4))-(Input!$D$68))))</f>
        <v>0.17</v>
      </c>
      <c r="I108" s="39" t="n">
        <f aca="false">IF(I$4&lt;=Input!$D$68,Input!$H$68,IF(I$4&gt;=(Input!$D$68+4),Input!$I$68,Input!$H$68+(Input!$I$68-Input!$H$68)*(I$4-Input!$D$68)/(((Input!$D$68+4))-(Input!$D$68))))</f>
        <v>0.17</v>
      </c>
      <c r="J108" s="39" t="n">
        <f aca="false">IF(J$4&lt;=Input!$D$68,Input!$H$68,IF(J$4&gt;=(Input!$D$68+4),Input!$I$68,Input!$H$68+(Input!$I$68-Input!$H$68)*(J$4-Input!$D$68)/(((Input!$D$68+4))-(Input!$D$68))))</f>
        <v>0.17</v>
      </c>
      <c r="K108" s="39" t="n">
        <f aca="false">IF(K$4&lt;=Input!$D$68,Input!$H$68,IF(K$4&gt;=(Input!$D$68+4),Input!$I$68,Input!$H$68+(Input!$I$68-Input!$H$68)*(K$4-Input!$D$68)/(((Input!$D$68+4))-(Input!$D$68))))</f>
        <v>0.17</v>
      </c>
      <c r="L108" s="39" t="n">
        <f aca="false">IF(L$4&lt;=Input!$D$68,Input!$H$68,IF(L$4&gt;=(Input!$D$68+4),Input!$I$68,Input!$H$68+(Input!$I$68-Input!$H$68)*(L$4-Input!$D$68)/(((Input!$D$68+4))-(Input!$D$68))))</f>
        <v>0.17</v>
      </c>
      <c r="M108" s="39" t="n">
        <f aca="false">IF(M$4&lt;=Input!$D$68,Input!$H$68,IF(M$4&gt;=(Input!$D$68+4),Input!$I$68,Input!$H$68+(Input!$I$68-Input!$H$68)*(M$4-Input!$D$68)/(((Input!$D$68+4))-(Input!$D$68))))</f>
        <v>0.17</v>
      </c>
      <c r="P108" s="3" t="s">
        <v>330</v>
      </c>
      <c r="Q108" s="37" t="n">
        <f aca="false">Q107*(1-Input!$B$12/Input!$K$68)</f>
        <v>7.08937538684211</v>
      </c>
    </row>
    <row r="109" customFormat="false" ht="15" hidden="false" customHeight="false" outlineLevel="0" collapsed="false">
      <c r="A109" s="8" t="s">
        <v>331</v>
      </c>
      <c r="D109" s="37" t="n">
        <f aca="false">D107*D108</f>
        <v>0.75</v>
      </c>
      <c r="E109" s="37" t="n">
        <f aca="false">E107*E108</f>
        <v>1.86666666666667</v>
      </c>
      <c r="F109" s="37" t="n">
        <f aca="false">F107*F108</f>
        <v>3.48333333333333</v>
      </c>
      <c r="G109" s="37" t="n">
        <f aca="false">G107*G108</f>
        <v>5.6</v>
      </c>
      <c r="H109" s="37" t="n">
        <f aca="false">H107*H108</f>
        <v>8.21666666666667</v>
      </c>
      <c r="I109" s="37" t="n">
        <f aca="false">I107*I108</f>
        <v>9.63333333333333</v>
      </c>
      <c r="J109" s="37" t="n">
        <f aca="false">J107*J108</f>
        <v>11.05</v>
      </c>
      <c r="K109" s="37" t="n">
        <f aca="false">K107*K108</f>
        <v>12.4666666666667</v>
      </c>
      <c r="L109" s="37" t="n">
        <f aca="false">L107*L108</f>
        <v>13.8833333333333</v>
      </c>
      <c r="M109" s="37" t="n">
        <f aca="false">M107*M108</f>
        <v>15.3</v>
      </c>
      <c r="P109" s="3" t="s">
        <v>332</v>
      </c>
      <c r="Q109" s="15" t="n">
        <f aca="false">Q108/(Tassi!$D$14-Input!$B$12)</f>
        <v>111.97893831521</v>
      </c>
    </row>
    <row r="110" customFormat="false" ht="15" hidden="false" customHeight="false" outlineLevel="0" collapsed="false">
      <c r="A110" s="8" t="s">
        <v>333</v>
      </c>
      <c r="D110" s="37" t="n">
        <f aca="false">(E107-D107)/Input!$J$68</f>
        <v>13.8888888888889</v>
      </c>
      <c r="E110" s="37" t="n">
        <f aca="false">(F107-E107)/Input!$J$68</f>
        <v>13.8888888888889</v>
      </c>
      <c r="F110" s="37" t="n">
        <f aca="false">(G107-F107)/Input!$J$68</f>
        <v>13.8888888888889</v>
      </c>
      <c r="G110" s="37" t="n">
        <f aca="false">(H107-G107)/Input!$J$68</f>
        <v>13.8888888888889</v>
      </c>
      <c r="H110" s="37" t="n">
        <f aca="false">(I107-H107)/Input!$J$68</f>
        <v>13.8888888888889</v>
      </c>
      <c r="I110" s="37" t="n">
        <f aca="false">(J107-I107)/Input!$J$68</f>
        <v>13.8888888888889</v>
      </c>
      <c r="J110" s="37" t="n">
        <f aca="false">(K107-J107)/Input!$J$68</f>
        <v>13.8888888888889</v>
      </c>
      <c r="K110" s="37" t="n">
        <f aca="false">(L107-K107)/Input!$J$68</f>
        <v>13.8888888888889</v>
      </c>
      <c r="L110" s="37" t="n">
        <f aca="false">(M107-L107)/Input!$J$68</f>
        <v>13.8888888888889</v>
      </c>
      <c r="M110" s="37" t="n">
        <f aca="false">(N107-M107)/Input!$J$68</f>
        <v>6.22500000000002</v>
      </c>
      <c r="P110" s="3" t="s">
        <v>334</v>
      </c>
      <c r="Q110" s="15" t="n">
        <f aca="false">SUMPRODUCT($D111:$M111,Tassi!$D$35:$M$35)+Q109*Tassi!$M$35</f>
        <v>-6.78689831163085</v>
      </c>
    </row>
    <row r="111" customFormat="false" ht="15" hidden="false" customHeight="false" outlineLevel="0" collapsed="false">
      <c r="A111" s="8" t="s">
        <v>335</v>
      </c>
      <c r="D111" s="37" t="n">
        <f aca="false">D109*(1-Input!$B$9)-D110</f>
        <v>-13.2963888888889</v>
      </c>
      <c r="E111" s="37" t="n">
        <f aca="false">E109*(1-Input!$B$9)-E110</f>
        <v>-12.4142222222222</v>
      </c>
      <c r="F111" s="37" t="n">
        <f aca="false">F109*(1-Input!$B$9)-F110</f>
        <v>-11.1370555555556</v>
      </c>
      <c r="G111" s="37" t="n">
        <f aca="false">G109*(1-Input!$B$9)-G110</f>
        <v>-9.46488888888889</v>
      </c>
      <c r="H111" s="37" t="n">
        <f aca="false">H109*(1-Input!$B$9)-H110</f>
        <v>-7.39772222222222</v>
      </c>
      <c r="I111" s="37" t="n">
        <f aca="false">I109*(1-Input!$B$9)-I110</f>
        <v>-6.27855555555556</v>
      </c>
      <c r="J111" s="37" t="n">
        <f aca="false">J109*(1-Input!$B$9)-J110</f>
        <v>-5.1593888888889</v>
      </c>
      <c r="K111" s="37" t="n">
        <f aca="false">K109*(1-Input!$B$9)-K110</f>
        <v>-4.04022222222221</v>
      </c>
      <c r="L111" s="37" t="n">
        <f aca="false">L109*(1-Input!$B$9)-L110</f>
        <v>-2.92105555555555</v>
      </c>
      <c r="M111" s="37" t="n">
        <f aca="false">M109*(1-Input!$B$9)-M110</f>
        <v>5.86199999999998</v>
      </c>
      <c r="P111" s="3" t="s">
        <v>336</v>
      </c>
      <c r="Q111" s="15" t="n">
        <f aca="false">SUMPRODUCT($D111:$M111,Tassi!$D$38:$M$38)+Q109*Tassi!$M$38</f>
        <v>-6.66608763775629</v>
      </c>
    </row>
    <row r="112" customFormat="false" ht="15" hidden="false" customHeight="false" outlineLevel="0" collapsed="false">
      <c r="P112" s="3" t="s">
        <v>348</v>
      </c>
      <c r="Q112" s="15" t="n">
        <f aca="false">SUMPRODUCT($D111:$M111,Tassi!$D$41:$M$41)+Q108/(Tassi!$E$14-Input!$B$12)*Tassi!$M$41</f>
        <v>-7.24168571362097</v>
      </c>
    </row>
    <row r="116" customFormat="false" ht="15" hidden="false" customHeight="false" outlineLevel="0" collapsed="false">
      <c r="A116" s="6" t="s">
        <v>350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customFormat="false" ht="15" hidden="false" customHeight="false" outlineLevel="0" collapsed="false">
      <c r="A117" s="8" t="s">
        <v>327</v>
      </c>
      <c r="C117" s="15" t="n">
        <f aca="false">IF(C$4&lt;Input!$D$69,0,IF(C$4&lt;=Input!$D$69,Input!$E$69,IF(C$4&gt;=2036,Input!$F$69,Input!$E$69+(Input!$F$69-Input!$E$69)*(C$4-Input!$D$69)/((2036)-(Input!$D$69)))))</f>
        <v>0</v>
      </c>
      <c r="D117" s="15" t="n">
        <f aca="false">IF(D$4&lt;Input!$D$69,0,IF(D$4&lt;=Input!$D$69,Input!$E$69,IF(D$4&gt;=2036,Input!$F$69,Input!$E$69+(Input!$F$69-Input!$E$69)*(D$4-Input!$D$69)/((2036)-(Input!$D$69)))))</f>
        <v>0</v>
      </c>
      <c r="E117" s="15" t="n">
        <f aca="false">IF(E$4&lt;Input!$D$69,0,IF(E$4&lt;=Input!$D$69,Input!$E$69,IF(E$4&gt;=2036,Input!$F$69,Input!$E$69+(Input!$F$69-Input!$E$69)*(E$4-Input!$D$69)/((2036)-(Input!$D$69)))))</f>
        <v>10</v>
      </c>
      <c r="F117" s="15" t="n">
        <f aca="false">IF(F$4&lt;Input!$D$69,0,IF(F$4&lt;=Input!$D$69,Input!$E$69,IF(F$4&gt;=2036,Input!$F$69,Input!$E$69+(Input!$F$69-Input!$E$69)*(F$4-Input!$D$69)/((2036)-(Input!$D$69)))))</f>
        <v>46.25</v>
      </c>
      <c r="G117" s="15" t="n">
        <f aca="false">IF(G$4&lt;Input!$D$69,0,IF(G$4&lt;=Input!$D$69,Input!$E$69,IF(G$4&gt;=2036,Input!$F$69,Input!$E$69+(Input!$F$69-Input!$E$69)*(G$4-Input!$D$69)/((2036)-(Input!$D$69)))))</f>
        <v>82.5</v>
      </c>
      <c r="H117" s="15" t="n">
        <f aca="false">IF(H$4&lt;Input!$D$69,0,IF(H$4&lt;=Input!$D$69,Input!$E$69,IF(H$4&gt;=2036,Input!$F$69,Input!$E$69+(Input!$F$69-Input!$E$69)*(H$4-Input!$D$69)/((2036)-(Input!$D$69)))))</f>
        <v>118.75</v>
      </c>
      <c r="I117" s="15" t="n">
        <f aca="false">IF(I$4&lt;Input!$D$69,0,IF(I$4&lt;=Input!$D$69,Input!$E$69,IF(I$4&gt;=2036,Input!$F$69,Input!$E$69+(Input!$F$69-Input!$E$69)*(I$4-Input!$D$69)/((2036)-(Input!$D$69)))))</f>
        <v>155</v>
      </c>
      <c r="J117" s="15" t="n">
        <f aca="false">IF(J$4&lt;Input!$D$69,0,IF(J$4&lt;=Input!$D$69,Input!$E$69,IF(J$4&gt;=2036,Input!$F$69,Input!$E$69+(Input!$F$69-Input!$E$69)*(J$4-Input!$D$69)/((2036)-(Input!$D$69)))))</f>
        <v>191.25</v>
      </c>
      <c r="K117" s="15" t="n">
        <f aca="false">IF(K$4&lt;Input!$D$69,0,IF(K$4&lt;=Input!$D$69,Input!$E$69,IF(K$4&gt;=2036,Input!$F$69,Input!$E$69+(Input!$F$69-Input!$E$69)*(K$4-Input!$D$69)/((2036)-(Input!$D$69)))))</f>
        <v>227.5</v>
      </c>
      <c r="L117" s="15" t="n">
        <f aca="false">IF(L$4&lt;Input!$D$69,0,IF(L$4&lt;=Input!$D$69,Input!$E$69,IF(L$4&gt;=2036,Input!$F$69,Input!$E$69+(Input!$F$69-Input!$E$69)*(L$4-Input!$D$69)/((2036)-(Input!$D$69)))))</f>
        <v>263.75</v>
      </c>
      <c r="M117" s="15" t="n">
        <f aca="false">IF(M$4&lt;Input!$D$69,0,IF(M$4&lt;=Input!$D$69,Input!$E$69,IF(M$4&gt;=2036,Input!$F$69,Input!$E$69+(Input!$F$69-Input!$E$69)*(M$4-Input!$D$69)/((2036)-(Input!$D$69)))))</f>
        <v>300</v>
      </c>
      <c r="N117" s="15" t="n">
        <f aca="false">M117*(1+Input!$B$12)</f>
        <v>312.45</v>
      </c>
      <c r="P117" s="3" t="s">
        <v>328</v>
      </c>
      <c r="Q117" s="37" t="n">
        <f aca="false">N117*Input!$I$69*(1-Input!$B$9)</f>
        <v>76.519005</v>
      </c>
    </row>
    <row r="118" customFormat="false" ht="15" hidden="false" customHeight="false" outlineLevel="0" collapsed="false">
      <c r="A118" s="8" t="s">
        <v>329</v>
      </c>
      <c r="D118" s="39" t="n">
        <f aca="false">IF(D$4&lt;=Input!$D$69,Input!$H$69,IF(D$4&gt;=(Input!$D$69+4),Input!$I$69,Input!$H$69+(Input!$I$69-Input!$H$69)*(D$4-Input!$D$69)/(((Input!$D$69+4))-(Input!$D$69))))</f>
        <v>0.1</v>
      </c>
      <c r="E118" s="39" t="n">
        <f aca="false">IF(E$4&lt;=Input!$D$69,Input!$H$69,IF(E$4&gt;=(Input!$D$69+4),Input!$I$69,Input!$H$69+(Input!$I$69-Input!$H$69)*(E$4-Input!$D$69)/(((Input!$D$69+4))-(Input!$D$69))))</f>
        <v>0.1</v>
      </c>
      <c r="F118" s="39" t="n">
        <f aca="false">IF(F$4&lt;=Input!$D$69,Input!$H$69,IF(F$4&gt;=(Input!$D$69+4),Input!$I$69,Input!$H$69+(Input!$I$69-Input!$H$69)*(F$4-Input!$D$69)/(((Input!$D$69+4))-(Input!$D$69))))</f>
        <v>0.1525</v>
      </c>
      <c r="G118" s="39" t="n">
        <f aca="false">IF(G$4&lt;=Input!$D$69,Input!$H$69,IF(G$4&gt;=(Input!$D$69+4),Input!$I$69,Input!$H$69+(Input!$I$69-Input!$H$69)*(G$4-Input!$D$69)/(((Input!$D$69+4))-(Input!$D$69))))</f>
        <v>0.205</v>
      </c>
      <c r="H118" s="39" t="n">
        <f aca="false">IF(H$4&lt;=Input!$D$69,Input!$H$69,IF(H$4&gt;=(Input!$D$69+4),Input!$I$69,Input!$H$69+(Input!$I$69-Input!$H$69)*(H$4-Input!$D$69)/(((Input!$D$69+4))-(Input!$D$69))))</f>
        <v>0.2575</v>
      </c>
      <c r="I118" s="39" t="n">
        <f aca="false">IF(I$4&lt;=Input!$D$69,Input!$H$69,IF(I$4&gt;=(Input!$D$69+4),Input!$I$69,Input!$H$69+(Input!$I$69-Input!$H$69)*(I$4-Input!$D$69)/(((Input!$D$69+4))-(Input!$D$69))))</f>
        <v>0.31</v>
      </c>
      <c r="J118" s="39" t="n">
        <f aca="false">IF(J$4&lt;=Input!$D$69,Input!$H$69,IF(J$4&gt;=(Input!$D$69+4),Input!$I$69,Input!$H$69+(Input!$I$69-Input!$H$69)*(J$4-Input!$D$69)/(((Input!$D$69+4))-(Input!$D$69))))</f>
        <v>0.31</v>
      </c>
      <c r="K118" s="39" t="n">
        <f aca="false">IF(K$4&lt;=Input!$D$69,Input!$H$69,IF(K$4&gt;=(Input!$D$69+4),Input!$I$69,Input!$H$69+(Input!$I$69-Input!$H$69)*(K$4-Input!$D$69)/(((Input!$D$69+4))-(Input!$D$69))))</f>
        <v>0.31</v>
      </c>
      <c r="L118" s="39" t="n">
        <f aca="false">IF(L$4&lt;=Input!$D$69,Input!$H$69,IF(L$4&gt;=(Input!$D$69+4),Input!$I$69,Input!$H$69+(Input!$I$69-Input!$H$69)*(L$4-Input!$D$69)/(((Input!$D$69+4))-(Input!$D$69))))</f>
        <v>0.31</v>
      </c>
      <c r="M118" s="39" t="n">
        <f aca="false">IF(M$4&lt;=Input!$D$69,Input!$H$69,IF(M$4&gt;=(Input!$D$69+4),Input!$I$69,Input!$H$69+(Input!$I$69-Input!$H$69)*(M$4-Input!$D$69)/(((Input!$D$69+4))-(Input!$D$69))))</f>
        <v>0.31</v>
      </c>
      <c r="P118" s="3" t="s">
        <v>330</v>
      </c>
      <c r="Q118" s="37" t="n">
        <f aca="false">Q117*(1-Input!$B$12/Input!$K$69)</f>
        <v>57.2733158636364</v>
      </c>
    </row>
    <row r="119" customFormat="false" ht="15" hidden="false" customHeight="false" outlineLevel="0" collapsed="false">
      <c r="A119" s="8" t="s">
        <v>331</v>
      </c>
      <c r="D119" s="37" t="n">
        <f aca="false">D117*D118</f>
        <v>0</v>
      </c>
      <c r="E119" s="37" t="n">
        <f aca="false">E117*E118</f>
        <v>1</v>
      </c>
      <c r="F119" s="37" t="n">
        <f aca="false">F117*F118</f>
        <v>7.053125</v>
      </c>
      <c r="G119" s="37" t="n">
        <f aca="false">G117*G118</f>
        <v>16.9125</v>
      </c>
      <c r="H119" s="37" t="n">
        <f aca="false">H117*H118</f>
        <v>30.578125</v>
      </c>
      <c r="I119" s="37" t="n">
        <f aca="false">I117*I118</f>
        <v>48.05</v>
      </c>
      <c r="J119" s="37" t="n">
        <f aca="false">J117*J118</f>
        <v>59.2875</v>
      </c>
      <c r="K119" s="37" t="n">
        <f aca="false">K117*K118</f>
        <v>70.525</v>
      </c>
      <c r="L119" s="37" t="n">
        <f aca="false">L117*L118</f>
        <v>81.7625</v>
      </c>
      <c r="M119" s="37" t="n">
        <f aca="false">M117*M118</f>
        <v>93</v>
      </c>
      <c r="P119" s="3" t="s">
        <v>332</v>
      </c>
      <c r="Q119" s="15" t="n">
        <f aca="false">Q118/(Tassi!$D$14-Input!$B$12)</f>
        <v>904.650234223026</v>
      </c>
    </row>
    <row r="120" customFormat="false" ht="15" hidden="false" customHeight="false" outlineLevel="0" collapsed="false">
      <c r="A120" s="8" t="s">
        <v>333</v>
      </c>
      <c r="D120" s="37" t="n">
        <f aca="false">(E117-D117)/Input!$J$69</f>
        <v>10</v>
      </c>
      <c r="E120" s="37" t="n">
        <f aca="false">(F117-E117)/Input!$J$69</f>
        <v>36.25</v>
      </c>
      <c r="F120" s="37" t="n">
        <f aca="false">(G117-F117)/Input!$J$69</f>
        <v>36.25</v>
      </c>
      <c r="G120" s="37" t="n">
        <f aca="false">(H117-G117)/Input!$J$69</f>
        <v>36.25</v>
      </c>
      <c r="H120" s="37" t="n">
        <f aca="false">(I117-H117)/Input!$J$69</f>
        <v>36.25</v>
      </c>
      <c r="I120" s="37" t="n">
        <f aca="false">(J117-I117)/Input!$J$69</f>
        <v>36.25</v>
      </c>
      <c r="J120" s="37" t="n">
        <f aca="false">(K117-J117)/Input!$J$69</f>
        <v>36.25</v>
      </c>
      <c r="K120" s="37" t="n">
        <f aca="false">(L117-K117)/Input!$J$69</f>
        <v>36.25</v>
      </c>
      <c r="L120" s="37" t="n">
        <f aca="false">(M117-L117)/Input!$J$69</f>
        <v>36.25</v>
      </c>
      <c r="M120" s="37" t="n">
        <f aca="false">(N117-M117)/Input!$J$69</f>
        <v>12.45</v>
      </c>
      <c r="P120" s="3" t="s">
        <v>334</v>
      </c>
      <c r="Q120" s="15" t="n">
        <f aca="false">SUMPRODUCT($D121:$M121,Tassi!$D$35:$M$35)+Q119*Tassi!$M$35</f>
        <v>268.534028892035</v>
      </c>
    </row>
    <row r="121" customFormat="false" ht="15" hidden="false" customHeight="false" outlineLevel="0" collapsed="false">
      <c r="A121" s="8" t="s">
        <v>335</v>
      </c>
      <c r="D121" s="37" t="n">
        <f aca="false">D119*(1-Input!$B$9)-D120</f>
        <v>-10</v>
      </c>
      <c r="E121" s="37" t="n">
        <f aca="false">E119*(1-Input!$B$9)-E120</f>
        <v>-35.46</v>
      </c>
      <c r="F121" s="37" t="n">
        <f aca="false">F119*(1-Input!$B$9)-F120</f>
        <v>-30.67803125</v>
      </c>
      <c r="G121" s="37" t="n">
        <f aca="false">G119*(1-Input!$B$9)-G120</f>
        <v>-22.889125</v>
      </c>
      <c r="H121" s="37" t="n">
        <f aca="false">H119*(1-Input!$B$9)-H120</f>
        <v>-12.09328125</v>
      </c>
      <c r="I121" s="37" t="n">
        <f aca="false">I119*(1-Input!$B$9)-I120</f>
        <v>1.7095</v>
      </c>
      <c r="J121" s="37" t="n">
        <f aca="false">J119*(1-Input!$B$9)-J120</f>
        <v>10.587125</v>
      </c>
      <c r="K121" s="37" t="n">
        <f aca="false">K119*(1-Input!$B$9)-K120</f>
        <v>19.46475</v>
      </c>
      <c r="L121" s="37" t="n">
        <f aca="false">L119*(1-Input!$B$9)-L120</f>
        <v>28.342375</v>
      </c>
      <c r="M121" s="37" t="n">
        <f aca="false">M119*(1-Input!$B$9)-M120</f>
        <v>61.02</v>
      </c>
      <c r="P121" s="3" t="s">
        <v>336</v>
      </c>
      <c r="Q121" s="15" t="n">
        <f aca="false">SUMPRODUCT($D121:$M121,Tassi!$D$38:$M$38)+Q119*Tassi!$M$38</f>
        <v>282.727479445498</v>
      </c>
    </row>
    <row r="122" customFormat="false" ht="15" hidden="false" customHeight="false" outlineLevel="0" collapsed="false">
      <c r="P122" s="3" t="s">
        <v>348</v>
      </c>
      <c r="Q122" s="15" t="n">
        <f aca="false">SUMPRODUCT($D121:$M121,Tassi!$D$41:$M$41)+Q118/(Tassi!$E$14-Input!$B$12)*Tassi!$M$41</f>
        <v>264.435883057331</v>
      </c>
    </row>
    <row r="126" customFormat="false" ht="15" hidden="false" customHeight="false" outlineLevel="0" collapsed="false">
      <c r="A126" s="6" t="s">
        <v>351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customFormat="false" ht="15" hidden="false" customHeight="false" outlineLevel="0" collapsed="false">
      <c r="A127" s="8" t="s">
        <v>327</v>
      </c>
      <c r="B127" s="3" t="s">
        <v>224</v>
      </c>
      <c r="C127" s="15" t="n">
        <f aca="false">C107</f>
        <v>0</v>
      </c>
      <c r="D127" s="15" t="n">
        <f aca="false">D107</f>
        <v>15</v>
      </c>
      <c r="E127" s="15" t="n">
        <f aca="false">E107</f>
        <v>23.3333333333333</v>
      </c>
      <c r="F127" s="15" t="n">
        <f aca="false">F107</f>
        <v>31.6666666666667</v>
      </c>
      <c r="G127" s="15" t="n">
        <f aca="false">G107</f>
        <v>40</v>
      </c>
      <c r="H127" s="15" t="n">
        <f aca="false">H107</f>
        <v>48.3333333333333</v>
      </c>
      <c r="I127" s="15" t="n">
        <f aca="false">I107</f>
        <v>56.6666666666667</v>
      </c>
      <c r="J127" s="15" t="n">
        <f aca="false">J107</f>
        <v>65</v>
      </c>
      <c r="K127" s="15" t="n">
        <f aca="false">K107</f>
        <v>73.3333333333333</v>
      </c>
      <c r="L127" s="15" t="n">
        <f aca="false">L107</f>
        <v>81.6666666666667</v>
      </c>
      <c r="M127" s="15" t="n">
        <f aca="false">M107</f>
        <v>90</v>
      </c>
      <c r="N127" s="15" t="n">
        <f aca="false">N107</f>
        <v>93.735</v>
      </c>
      <c r="P127" s="3" t="s">
        <v>328</v>
      </c>
      <c r="Q127" s="37" t="n">
        <f aca="false">Input!$L$70*M127*(1+Input!$B$12)*(1-Input!$B$9)</f>
        <v>9.6265845</v>
      </c>
    </row>
    <row r="128" customFormat="false" ht="15" hidden="false" customHeight="false" outlineLevel="0" collapsed="false">
      <c r="A128" s="8" t="s">
        <v>341</v>
      </c>
      <c r="D128" s="39" t="n">
        <f aca="false">IF(D$4&lt;=(Input!$D$70-1),0,IF(D$4&gt;=(Input!$D$70+2),Input!$L$70,0+(Input!$L$70-0)*(D$4-(Input!$D$70-1))/(((Input!$D$70+2))-((Input!$D$70-1)))))</f>
        <v>0</v>
      </c>
      <c r="E128" s="39" t="n">
        <f aca="false">IF(E$4&lt;=(Input!$D$70-1),0,IF(E$4&gt;=(Input!$D$70+2),Input!$L$70,0+(Input!$L$70-0)*(E$4-(Input!$D$70-1))/(((Input!$D$70+2))-((Input!$D$70-1)))))</f>
        <v>0</v>
      </c>
      <c r="F128" s="39" t="n">
        <f aca="false">IF(F$4&lt;=(Input!$D$70-1),0,IF(F$4&gt;=(Input!$D$70+2),Input!$L$70,0+(Input!$L$70-0)*(F$4-(Input!$D$70-1))/(((Input!$D$70+2))-((Input!$D$70-1)))))</f>
        <v>0.0433333333333333</v>
      </c>
      <c r="G128" s="39" t="n">
        <f aca="false">IF(G$4&lt;=(Input!$D$70-1),0,IF(G$4&gt;=(Input!$D$70+2),Input!$L$70,0+(Input!$L$70-0)*(G$4-(Input!$D$70-1))/(((Input!$D$70+2))-((Input!$D$70-1)))))</f>
        <v>0.0866666666666667</v>
      </c>
      <c r="H128" s="39" t="n">
        <f aca="false">IF(H$4&lt;=(Input!$D$70-1),0,IF(H$4&gt;=(Input!$D$70+2),Input!$L$70,0+(Input!$L$70-0)*(H$4-(Input!$D$70-1))/(((Input!$D$70+2))-((Input!$D$70-1)))))</f>
        <v>0.13</v>
      </c>
      <c r="I128" s="39" t="n">
        <f aca="false">IF(I$4&lt;=(Input!$D$70-1),0,IF(I$4&gt;=(Input!$D$70+2),Input!$L$70,0+(Input!$L$70-0)*(I$4-(Input!$D$70-1))/(((Input!$D$70+2))-((Input!$D$70-1)))))</f>
        <v>0.13</v>
      </c>
      <c r="J128" s="39" t="n">
        <f aca="false">IF(J$4&lt;=(Input!$D$70-1),0,IF(J$4&gt;=(Input!$D$70+2),Input!$L$70,0+(Input!$L$70-0)*(J$4-(Input!$D$70-1))/(((Input!$D$70+2))-((Input!$D$70-1)))))</f>
        <v>0.13</v>
      </c>
      <c r="K128" s="39" t="n">
        <f aca="false">IF(K$4&lt;=(Input!$D$70-1),0,IF(K$4&gt;=(Input!$D$70+2),Input!$L$70,0+(Input!$L$70-0)*(K$4-(Input!$D$70-1))/(((Input!$D$70+2))-((Input!$D$70-1)))))</f>
        <v>0.13</v>
      </c>
      <c r="L128" s="39" t="n">
        <f aca="false">IF(L$4&lt;=(Input!$D$70-1),0,IF(L$4&gt;=(Input!$D$70+2),Input!$L$70,0+(Input!$L$70-0)*(L$4-(Input!$D$70-1))/(((Input!$D$70+2))-((Input!$D$70-1)))))</f>
        <v>0.13</v>
      </c>
      <c r="M128" s="39" t="n">
        <f aca="false">IF(M$4&lt;=(Input!$D$70-1),0,IF(M$4&gt;=(Input!$D$70+2),Input!$L$70,0+(Input!$L$70-0)*(M$4-(Input!$D$70-1))/(((Input!$D$70+2))-((Input!$D$70-1)))))</f>
        <v>0.13</v>
      </c>
      <c r="P128" s="3" t="s">
        <v>330</v>
      </c>
      <c r="Q128" s="37" t="n">
        <f aca="false">Q127</f>
        <v>9.6265845</v>
      </c>
    </row>
    <row r="129" customFormat="false" ht="15" hidden="false" customHeight="false" outlineLevel="0" collapsed="false">
      <c r="A129" s="8" t="s">
        <v>331</v>
      </c>
      <c r="D129" s="37" t="n">
        <f aca="false">D127*D128</f>
        <v>0</v>
      </c>
      <c r="E129" s="37" t="n">
        <f aca="false">E127*E128</f>
        <v>0</v>
      </c>
      <c r="F129" s="37" t="n">
        <f aca="false">F127*F128</f>
        <v>1.37222222222222</v>
      </c>
      <c r="G129" s="37" t="n">
        <f aca="false">G127*G128</f>
        <v>3.46666666666667</v>
      </c>
      <c r="H129" s="37" t="n">
        <f aca="false">H127*H128</f>
        <v>6.28333333333333</v>
      </c>
      <c r="I129" s="37" t="n">
        <f aca="false">I127*I128</f>
        <v>7.36666666666667</v>
      </c>
      <c r="J129" s="37" t="n">
        <f aca="false">J127*J128</f>
        <v>8.45</v>
      </c>
      <c r="K129" s="37" t="n">
        <f aca="false">K127*K128</f>
        <v>9.53333333333334</v>
      </c>
      <c r="L129" s="37" t="n">
        <f aca="false">L127*L128</f>
        <v>10.6166666666667</v>
      </c>
      <c r="M129" s="37" t="n">
        <f aca="false">M127*M128</f>
        <v>11.7</v>
      </c>
      <c r="P129" s="3" t="s">
        <v>332</v>
      </c>
      <c r="Q129" s="15" t="n">
        <f aca="false">Q128/(Tassi!$D$14-Input!$B$12)</f>
        <v>152.054962967877</v>
      </c>
    </row>
    <row r="130" customFormat="false" ht="15" hidden="false" customHeight="false" outlineLevel="0" collapsed="false">
      <c r="A130" s="8" t="s">
        <v>333</v>
      </c>
      <c r="D130" s="37" t="n">
        <v>0</v>
      </c>
      <c r="E130" s="37" t="n">
        <v>0</v>
      </c>
      <c r="F130" s="37" t="n">
        <v>0</v>
      </c>
      <c r="G130" s="37" t="n">
        <v>0</v>
      </c>
      <c r="H130" s="37" t="n">
        <v>0</v>
      </c>
      <c r="I130" s="37" t="n">
        <v>0</v>
      </c>
      <c r="J130" s="37" t="n">
        <v>0</v>
      </c>
      <c r="K130" s="37" t="n">
        <v>0</v>
      </c>
      <c r="L130" s="37" t="n">
        <v>0</v>
      </c>
      <c r="M130" s="37" t="n">
        <v>0</v>
      </c>
      <c r="P130" s="3" t="s">
        <v>334</v>
      </c>
      <c r="Q130" s="15" t="n">
        <f aca="false">SUMPRODUCT($D131:$M131,Tassi!$D$35:$M$35)+Q129*Tassi!$M$35</f>
        <v>70.7059873559436</v>
      </c>
    </row>
    <row r="131" customFormat="false" ht="15" hidden="false" customHeight="false" outlineLevel="0" collapsed="false">
      <c r="A131" s="8" t="s">
        <v>335</v>
      </c>
      <c r="D131" s="37" t="n">
        <f aca="false">D129*(1-Input!$B$9)-D130</f>
        <v>0</v>
      </c>
      <c r="E131" s="37" t="n">
        <f aca="false">E129*(1-Input!$B$9)-E130</f>
        <v>0</v>
      </c>
      <c r="F131" s="37" t="n">
        <f aca="false">F129*(1-Input!$B$9)-F130</f>
        <v>1.08405555555556</v>
      </c>
      <c r="G131" s="37" t="n">
        <f aca="false">G129*(1-Input!$B$9)-G130</f>
        <v>2.73866666666667</v>
      </c>
      <c r="H131" s="37" t="n">
        <f aca="false">H129*(1-Input!$B$9)-H130</f>
        <v>4.96383333333333</v>
      </c>
      <c r="I131" s="37" t="n">
        <f aca="false">I129*(1-Input!$B$9)-I130</f>
        <v>5.81966666666667</v>
      </c>
      <c r="J131" s="37" t="n">
        <f aca="false">J129*(1-Input!$B$9)-J130</f>
        <v>6.6755</v>
      </c>
      <c r="K131" s="37" t="n">
        <f aca="false">K129*(1-Input!$B$9)-K130</f>
        <v>7.53133333333334</v>
      </c>
      <c r="L131" s="37" t="n">
        <f aca="false">L129*(1-Input!$B$9)-L130</f>
        <v>8.38716666666667</v>
      </c>
      <c r="M131" s="37" t="n">
        <f aca="false">M129*(1-Input!$B$9)-M130</f>
        <v>9.243</v>
      </c>
      <c r="P131" s="3" t="s">
        <v>336</v>
      </c>
      <c r="Q131" s="15" t="n">
        <f aca="false">SUMPRODUCT($D131:$M131,Tassi!$D$38:$M$38)+Q129*Tassi!$M$38</f>
        <v>74.2755380893481</v>
      </c>
    </row>
    <row r="132" customFormat="false" ht="15" hidden="false" customHeight="false" outlineLevel="0" collapsed="false">
      <c r="P132" s="3" t="s">
        <v>348</v>
      </c>
      <c r="Q132" s="15" t="n">
        <f aca="false">SUMPRODUCT($D131:$M131,Tassi!$D$41:$M$41)+Q128/(Tassi!$E$14-Input!$B$12)*Tassi!$M$41</f>
        <v>69.9799966144492</v>
      </c>
    </row>
    <row r="136" customFormat="false" ht="15" hidden="false" customHeight="false" outlineLevel="0" collapsed="false">
      <c r="A136" s="6" t="s">
        <v>352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customFormat="false" ht="15" hidden="false" customHeight="false" outlineLevel="0" collapsed="false">
      <c r="A137" s="8" t="s">
        <v>327</v>
      </c>
      <c r="C137" s="15" t="n">
        <f aca="false">IF(C$4&lt;Input!$D$71,0,IF(C$4&lt;=Input!$D$71,Input!$E$71,IF(C$4&gt;=2036,Input!$F$71,Input!$E$71+(Input!$F$71-Input!$E$71)*(C$4-Input!$D$71)/((2036)-(Input!$D$71)))))</f>
        <v>0</v>
      </c>
      <c r="D137" s="15" t="n">
        <f aca="false">IF(D$4&lt;Input!$D$71,0,IF(D$4&lt;=Input!$D$71,Input!$E$71,IF(D$4&gt;=2036,Input!$F$71,Input!$E$71+(Input!$F$71-Input!$E$71)*(D$4-Input!$D$71)/((2036)-(Input!$D$71)))))</f>
        <v>0</v>
      </c>
      <c r="E137" s="15" t="n">
        <f aca="false">IF(E$4&lt;Input!$D$71,0,IF(E$4&lt;=Input!$D$71,Input!$E$71,IF(E$4&gt;=2036,Input!$F$71,Input!$E$71+(Input!$F$71-Input!$E$71)*(E$4-Input!$D$71)/((2036)-(Input!$D$71)))))</f>
        <v>0</v>
      </c>
      <c r="F137" s="15" t="n">
        <f aca="false">IF(F$4&lt;Input!$D$71,0,IF(F$4&lt;=Input!$D$71,Input!$E$71,IF(F$4&gt;=2036,Input!$F$71,Input!$E$71+(Input!$F$71-Input!$E$71)*(F$4-Input!$D$71)/((2036)-(Input!$D$71)))))</f>
        <v>0</v>
      </c>
      <c r="G137" s="15" t="n">
        <f aca="false">IF(G$4&lt;Input!$D$71,0,IF(G$4&lt;=Input!$D$71,Input!$E$71,IF(G$4&gt;=2036,Input!$F$71,Input!$E$71+(Input!$F$71-Input!$E$71)*(G$4-Input!$D$71)/((2036)-(Input!$D$71)))))</f>
        <v>0</v>
      </c>
      <c r="H137" s="15" t="n">
        <f aca="false">IF(H$4&lt;Input!$D$71,0,IF(H$4&lt;=Input!$D$71,Input!$E$71,IF(H$4&gt;=2036,Input!$F$71,Input!$E$71+(Input!$F$71-Input!$E$71)*(H$4-Input!$D$71)/((2036)-(Input!$D$71)))))</f>
        <v>0</v>
      </c>
      <c r="I137" s="15" t="n">
        <f aca="false">IF(I$4&lt;Input!$D$71,0,IF(I$4&lt;=Input!$D$71,Input!$E$71,IF(I$4&gt;=2036,Input!$F$71,Input!$E$71+(Input!$F$71-Input!$E$71)*(I$4-Input!$D$71)/((2036)-(Input!$D$71)))))</f>
        <v>0</v>
      </c>
      <c r="J137" s="15" t="n">
        <f aca="false">IF(J$4&lt;Input!$D$71,0,IF(J$4&lt;=Input!$D$71,Input!$E$71,IF(J$4&gt;=2036,Input!$F$71,Input!$E$71+(Input!$F$71-Input!$E$71)*(J$4-Input!$D$71)/((2036)-(Input!$D$71)))))</f>
        <v>25</v>
      </c>
      <c r="K137" s="15" t="n">
        <f aca="false">IF(K$4&lt;Input!$D$71,0,IF(K$4&lt;=Input!$D$71,Input!$E$71,IF(K$4&gt;=2036,Input!$F$71,Input!$E$71+(Input!$F$71-Input!$E$71)*(K$4-Input!$D$71)/((2036)-(Input!$D$71)))))</f>
        <v>50</v>
      </c>
      <c r="L137" s="15" t="n">
        <f aca="false">IF(L$4&lt;Input!$D$71,0,IF(L$4&lt;=Input!$D$71,Input!$E$71,IF(L$4&gt;=2036,Input!$F$71,Input!$E$71+(Input!$F$71-Input!$E$71)*(L$4-Input!$D$71)/((2036)-(Input!$D$71)))))</f>
        <v>75</v>
      </c>
      <c r="M137" s="15" t="n">
        <f aca="false">IF(M$4&lt;Input!$D$71,0,IF(M$4&lt;=Input!$D$71,Input!$E$71,IF(M$4&gt;=2036,Input!$F$71,Input!$E$71+(Input!$F$71-Input!$E$71)*(M$4-Input!$D$71)/((2036)-(Input!$D$71)))))</f>
        <v>100</v>
      </c>
      <c r="N137" s="15" t="n">
        <f aca="false">M137*(1+Input!$B$12)</f>
        <v>104.15</v>
      </c>
      <c r="P137" s="3" t="s">
        <v>328</v>
      </c>
      <c r="Q137" s="37" t="n">
        <f aca="false">N137*Input!$I$71*(1-Input!$B$9)</f>
        <v>28.797475</v>
      </c>
    </row>
    <row r="138" customFormat="false" ht="15" hidden="false" customHeight="false" outlineLevel="0" collapsed="false">
      <c r="A138" s="8" t="s">
        <v>329</v>
      </c>
      <c r="D138" s="39" t="n">
        <f aca="false">IF(D$4&lt;=Input!$D$71,Input!$H$71,IF(D$4&gt;=(Input!$D$71+4),Input!$I$71,Input!$H$71+(Input!$I$71-Input!$H$71)*(D$4-Input!$D$71)/(((Input!$D$71+4))-(Input!$D$71))))</f>
        <v>0.1</v>
      </c>
      <c r="E138" s="39" t="n">
        <f aca="false">IF(E$4&lt;=Input!$D$71,Input!$H$71,IF(E$4&gt;=(Input!$D$71+4),Input!$I$71,Input!$H$71+(Input!$I$71-Input!$H$71)*(E$4-Input!$D$71)/(((Input!$D$71+4))-(Input!$D$71))))</f>
        <v>0.1</v>
      </c>
      <c r="F138" s="39" t="n">
        <f aca="false">IF(F$4&lt;=Input!$D$71,Input!$H$71,IF(F$4&gt;=(Input!$D$71+4),Input!$I$71,Input!$H$71+(Input!$I$71-Input!$H$71)*(F$4-Input!$D$71)/(((Input!$D$71+4))-(Input!$D$71))))</f>
        <v>0.1</v>
      </c>
      <c r="G138" s="39" t="n">
        <f aca="false">IF(G$4&lt;=Input!$D$71,Input!$H$71,IF(G$4&gt;=(Input!$D$71+4),Input!$I$71,Input!$H$71+(Input!$I$71-Input!$H$71)*(G$4-Input!$D$71)/(((Input!$D$71+4))-(Input!$D$71))))</f>
        <v>0.1</v>
      </c>
      <c r="H138" s="39" t="n">
        <f aca="false">IF(H$4&lt;=Input!$D$71,Input!$H$71,IF(H$4&gt;=(Input!$D$71+4),Input!$I$71,Input!$H$71+(Input!$I$71-Input!$H$71)*(H$4-Input!$D$71)/(((Input!$D$71+4))-(Input!$D$71))))</f>
        <v>0.1</v>
      </c>
      <c r="I138" s="39" t="n">
        <f aca="false">IF(I$4&lt;=Input!$D$71,Input!$H$71,IF(I$4&gt;=(Input!$D$71+4),Input!$I$71,Input!$H$71+(Input!$I$71-Input!$H$71)*(I$4-Input!$D$71)/(((Input!$D$71+4))-(Input!$D$71))))</f>
        <v>0.1</v>
      </c>
      <c r="J138" s="39" t="n">
        <f aca="false">IF(J$4&lt;=Input!$D$71,Input!$H$71,IF(J$4&gt;=(Input!$D$71+4),Input!$I$71,Input!$H$71+(Input!$I$71-Input!$H$71)*(J$4-Input!$D$71)/(((Input!$D$71+4))-(Input!$D$71))))</f>
        <v>0.1625</v>
      </c>
      <c r="K138" s="39" t="n">
        <f aca="false">IF(K$4&lt;=Input!$D$71,Input!$H$71,IF(K$4&gt;=(Input!$D$71+4),Input!$I$71,Input!$H$71+(Input!$I$71-Input!$H$71)*(K$4-Input!$D$71)/(((Input!$D$71+4))-(Input!$D$71))))</f>
        <v>0.225</v>
      </c>
      <c r="L138" s="39" t="n">
        <f aca="false">IF(L$4&lt;=Input!$D$71,Input!$H$71,IF(L$4&gt;=(Input!$D$71+4),Input!$I$71,Input!$H$71+(Input!$I$71-Input!$H$71)*(L$4-Input!$D$71)/(((Input!$D$71+4))-(Input!$D$71))))</f>
        <v>0.2875</v>
      </c>
      <c r="M138" s="39" t="n">
        <f aca="false">IF(M$4&lt;=Input!$D$71,Input!$H$71,IF(M$4&gt;=(Input!$D$71+4),Input!$I$71,Input!$H$71+(Input!$I$71-Input!$H$71)*(M$4-Input!$D$71)/(((Input!$D$71+4))-(Input!$D$71))))</f>
        <v>0.35</v>
      </c>
      <c r="P138" s="3" t="s">
        <v>330</v>
      </c>
      <c r="Q138" s="37" t="n">
        <f aca="false">Q137*(1-Input!$B$12/Input!$K$71)</f>
        <v>22.8219989375</v>
      </c>
    </row>
    <row r="139" customFormat="false" ht="15" hidden="false" customHeight="false" outlineLevel="0" collapsed="false">
      <c r="A139" s="8" t="s">
        <v>331</v>
      </c>
      <c r="D139" s="37" t="n">
        <f aca="false">D137*D138</f>
        <v>0</v>
      </c>
      <c r="E139" s="37" t="n">
        <f aca="false">E137*E138</f>
        <v>0</v>
      </c>
      <c r="F139" s="37" t="n">
        <f aca="false">F137*F138</f>
        <v>0</v>
      </c>
      <c r="G139" s="37" t="n">
        <f aca="false">G137*G138</f>
        <v>0</v>
      </c>
      <c r="H139" s="37" t="n">
        <f aca="false">H137*H138</f>
        <v>0</v>
      </c>
      <c r="I139" s="37" t="n">
        <f aca="false">I137*I138</f>
        <v>0</v>
      </c>
      <c r="J139" s="37" t="n">
        <f aca="false">J137*J138</f>
        <v>4.0625</v>
      </c>
      <c r="K139" s="37" t="n">
        <f aca="false">K137*K138</f>
        <v>11.25</v>
      </c>
      <c r="L139" s="37" t="n">
        <f aca="false">L137*L138</f>
        <v>21.5625</v>
      </c>
      <c r="M139" s="37" t="n">
        <f aca="false">M137*M138</f>
        <v>35</v>
      </c>
      <c r="P139" s="3" t="s">
        <v>332</v>
      </c>
      <c r="Q139" s="15" t="n">
        <f aca="false">Q138/(Tassi!$D$14-Input!$B$12)</f>
        <v>360.480729514657</v>
      </c>
    </row>
    <row r="140" customFormat="false" ht="15" hidden="false" customHeight="false" outlineLevel="0" collapsed="false">
      <c r="A140" s="8" t="s">
        <v>333</v>
      </c>
      <c r="D140" s="37" t="n">
        <f aca="false">(E137-D137)/Input!$J$71</f>
        <v>0</v>
      </c>
      <c r="E140" s="37" t="n">
        <f aca="false">(F137-E137)/Input!$J$71</f>
        <v>0</v>
      </c>
      <c r="F140" s="37" t="n">
        <f aca="false">(G137-F137)/Input!$J$71</f>
        <v>0</v>
      </c>
      <c r="G140" s="37" t="n">
        <f aca="false">(H137-G137)/Input!$J$71</f>
        <v>0</v>
      </c>
      <c r="H140" s="37" t="n">
        <f aca="false">(I137-H137)/Input!$J$71</f>
        <v>0</v>
      </c>
      <c r="I140" s="37" t="n">
        <f aca="false">(J137-I137)/Input!$J$71</f>
        <v>25</v>
      </c>
      <c r="J140" s="37" t="n">
        <f aca="false">(K137-J137)/Input!$J$71</f>
        <v>25</v>
      </c>
      <c r="K140" s="37" t="n">
        <f aca="false">(L137-K137)/Input!$J$71</f>
        <v>25</v>
      </c>
      <c r="L140" s="37" t="n">
        <f aca="false">(M137-L137)/Input!$J$71</f>
        <v>25</v>
      </c>
      <c r="M140" s="37" t="n">
        <f aca="false">(N137-M137)/Input!$J$71</f>
        <v>4.15000000000001</v>
      </c>
      <c r="P140" s="3" t="s">
        <v>334</v>
      </c>
      <c r="Q140" s="15" t="n">
        <f aca="false">SUMPRODUCT($D141:$M141,Tassi!$D$35:$M$35)+Q139*Tassi!$M$35</f>
        <v>95.8991330959769</v>
      </c>
    </row>
    <row r="141" customFormat="false" ht="15" hidden="false" customHeight="false" outlineLevel="0" collapsed="false">
      <c r="A141" s="8" t="s">
        <v>335</v>
      </c>
      <c r="D141" s="37" t="n">
        <f aca="false">D139*(1-Input!$B$9)-D140</f>
        <v>0</v>
      </c>
      <c r="E141" s="37" t="n">
        <f aca="false">E139*(1-Input!$B$9)-E140</f>
        <v>0</v>
      </c>
      <c r="F141" s="37" t="n">
        <f aca="false">F139*(1-Input!$B$9)-F140</f>
        <v>0</v>
      </c>
      <c r="G141" s="37" t="n">
        <f aca="false">G139*(1-Input!$B$9)-G140</f>
        <v>0</v>
      </c>
      <c r="H141" s="37" t="n">
        <f aca="false">H139*(1-Input!$B$9)-H140</f>
        <v>0</v>
      </c>
      <c r="I141" s="37" t="n">
        <f aca="false">I139*(1-Input!$B$9)-I140</f>
        <v>-25</v>
      </c>
      <c r="J141" s="37" t="n">
        <f aca="false">J139*(1-Input!$B$9)-J140</f>
        <v>-21.790625</v>
      </c>
      <c r="K141" s="37" t="n">
        <f aca="false">K139*(1-Input!$B$9)-K140</f>
        <v>-16.1125</v>
      </c>
      <c r="L141" s="37" t="n">
        <f aca="false">L139*(1-Input!$B$9)-L140</f>
        <v>-7.965625</v>
      </c>
      <c r="M141" s="37" t="n">
        <f aca="false">M139*(1-Input!$B$9)-M140</f>
        <v>23.5</v>
      </c>
      <c r="P141" s="3" t="s">
        <v>336</v>
      </c>
      <c r="Q141" s="15" t="n">
        <f aca="false">SUMPRODUCT($D141:$M141,Tassi!$D$38:$M$38)+Q139*Tassi!$M$38</f>
        <v>100.740545169785</v>
      </c>
    </row>
    <row r="142" customFormat="false" ht="15" hidden="false" customHeight="false" outlineLevel="0" collapsed="false">
      <c r="P142" s="3" t="s">
        <v>348</v>
      </c>
      <c r="Q142" s="15" t="n">
        <f aca="false">SUMPRODUCT($D141:$M141,Tassi!$D$41:$M$41)+Q138/(Tassi!$E$14-Input!$B$12)*Tassi!$M$41</f>
        <v>94.3327099610732</v>
      </c>
    </row>
    <row r="146" customFormat="false" ht="15" hidden="false" customHeight="false" outlineLevel="0" collapsed="false">
      <c r="A146" s="6" t="s">
        <v>353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customFormat="false" ht="15" hidden="false" customHeight="false" outlineLevel="0" collapsed="false">
      <c r="A147" s="8" t="s">
        <v>327</v>
      </c>
      <c r="C147" s="15" t="n">
        <f aca="false">IF(C$4&lt;Input!$D$72,0,IF(C$4&lt;=Input!$D$72,Input!$E$72,IF(C$4&gt;=2036,Input!$F$72,Input!$E$72+(Input!$F$72-Input!$E$72)*(C$4-Input!$D$72)/((2036)-(Input!$D$72)))))</f>
        <v>0</v>
      </c>
      <c r="D147" s="15" t="n">
        <f aca="false">IF(D$4&lt;Input!$D$72,0,IF(D$4&lt;=Input!$D$72,Input!$E$72,IF(D$4&gt;=2036,Input!$F$72,Input!$E$72+(Input!$F$72-Input!$E$72)*(D$4-Input!$D$72)/((2036)-(Input!$D$72)))))</f>
        <v>0</v>
      </c>
      <c r="E147" s="15" t="n">
        <f aca="false">IF(E$4&lt;Input!$D$72,0,IF(E$4&lt;=Input!$D$72,Input!$E$72,IF(E$4&gt;=2036,Input!$F$72,Input!$E$72+(Input!$F$72-Input!$E$72)*(E$4-Input!$D$72)/((2036)-(Input!$D$72)))))</f>
        <v>1</v>
      </c>
      <c r="F147" s="15" t="n">
        <f aca="false">IF(F$4&lt;Input!$D$72,0,IF(F$4&lt;=Input!$D$72,Input!$E$72,IF(F$4&gt;=2036,Input!$F$72,Input!$E$72+(Input!$F$72-Input!$E$72)*(F$4-Input!$D$72)/((2036)-(Input!$D$72)))))</f>
        <v>2.375</v>
      </c>
      <c r="G147" s="15" t="n">
        <f aca="false">IF(G$4&lt;Input!$D$72,0,IF(G$4&lt;=Input!$D$72,Input!$E$72,IF(G$4&gt;=2036,Input!$F$72,Input!$E$72+(Input!$F$72-Input!$E$72)*(G$4-Input!$D$72)/((2036)-(Input!$D$72)))))</f>
        <v>3.75</v>
      </c>
      <c r="H147" s="15" t="n">
        <f aca="false">IF(H$4&lt;Input!$D$72,0,IF(H$4&lt;=Input!$D$72,Input!$E$72,IF(H$4&gt;=2036,Input!$F$72,Input!$E$72+(Input!$F$72-Input!$E$72)*(H$4-Input!$D$72)/((2036)-(Input!$D$72)))))</f>
        <v>5.125</v>
      </c>
      <c r="I147" s="15" t="n">
        <f aca="false">IF(I$4&lt;Input!$D$72,0,IF(I$4&lt;=Input!$D$72,Input!$E$72,IF(I$4&gt;=2036,Input!$F$72,Input!$E$72+(Input!$F$72-Input!$E$72)*(I$4-Input!$D$72)/((2036)-(Input!$D$72)))))</f>
        <v>6.5</v>
      </c>
      <c r="J147" s="15" t="n">
        <f aca="false">IF(J$4&lt;Input!$D$72,0,IF(J$4&lt;=Input!$D$72,Input!$E$72,IF(J$4&gt;=2036,Input!$F$72,Input!$E$72+(Input!$F$72-Input!$E$72)*(J$4-Input!$D$72)/((2036)-(Input!$D$72)))))</f>
        <v>7.875</v>
      </c>
      <c r="K147" s="15" t="n">
        <f aca="false">IF(K$4&lt;Input!$D$72,0,IF(K$4&lt;=Input!$D$72,Input!$E$72,IF(K$4&gt;=2036,Input!$F$72,Input!$E$72+(Input!$F$72-Input!$E$72)*(K$4-Input!$D$72)/((2036)-(Input!$D$72)))))</f>
        <v>9.25</v>
      </c>
      <c r="L147" s="15" t="n">
        <f aca="false">IF(L$4&lt;Input!$D$72,0,IF(L$4&lt;=Input!$D$72,Input!$E$72,IF(L$4&gt;=2036,Input!$F$72,Input!$E$72+(Input!$F$72-Input!$E$72)*(L$4-Input!$D$72)/((2036)-(Input!$D$72)))))</f>
        <v>10.625</v>
      </c>
      <c r="M147" s="15" t="n">
        <f aca="false">IF(M$4&lt;Input!$D$72,0,IF(M$4&lt;=Input!$D$72,Input!$E$72,IF(M$4&gt;=2036,Input!$F$72,Input!$E$72+(Input!$F$72-Input!$E$72)*(M$4-Input!$D$72)/((2036)-(Input!$D$72)))))</f>
        <v>12</v>
      </c>
      <c r="N147" s="15" t="n">
        <f aca="false">M147*(1+Input!$B$12)</f>
        <v>12.498</v>
      </c>
      <c r="P147" s="3" t="s">
        <v>328</v>
      </c>
      <c r="Q147" s="37" t="n">
        <f aca="false">N147*Input!$I$72*(1-Input!$B$9)</f>
        <v>1.481013</v>
      </c>
    </row>
    <row r="148" customFormat="false" ht="15" hidden="false" customHeight="false" outlineLevel="0" collapsed="false">
      <c r="A148" s="8" t="s">
        <v>329</v>
      </c>
      <c r="D148" s="39" t="n">
        <f aca="false">IF(D$4&lt;=Input!$D$72,Input!$H$72,IF(D$4&gt;=(Input!$D$72+4),Input!$I$72,Input!$H$72+(Input!$I$72-Input!$H$72)*(D$4-Input!$D$72)/(((Input!$D$72+4))-(Input!$D$72))))</f>
        <v>0.1</v>
      </c>
      <c r="E148" s="39" t="n">
        <f aca="false">IF(E$4&lt;=Input!$D$72,Input!$H$72,IF(E$4&gt;=(Input!$D$72+4),Input!$I$72,Input!$H$72+(Input!$I$72-Input!$H$72)*(E$4-Input!$D$72)/(((Input!$D$72+4))-(Input!$D$72))))</f>
        <v>0.1</v>
      </c>
      <c r="F148" s="39" t="n">
        <f aca="false">IF(F$4&lt;=Input!$D$72,Input!$H$72,IF(F$4&gt;=(Input!$D$72+4),Input!$I$72,Input!$H$72+(Input!$I$72-Input!$H$72)*(F$4-Input!$D$72)/(((Input!$D$72+4))-(Input!$D$72))))</f>
        <v>0.1125</v>
      </c>
      <c r="G148" s="39" t="n">
        <f aca="false">IF(G$4&lt;=Input!$D$72,Input!$H$72,IF(G$4&gt;=(Input!$D$72+4),Input!$I$72,Input!$H$72+(Input!$I$72-Input!$H$72)*(G$4-Input!$D$72)/(((Input!$D$72+4))-(Input!$D$72))))</f>
        <v>0.125</v>
      </c>
      <c r="H148" s="39" t="n">
        <f aca="false">IF(H$4&lt;=Input!$D$72,Input!$H$72,IF(H$4&gt;=(Input!$D$72+4),Input!$I$72,Input!$H$72+(Input!$I$72-Input!$H$72)*(H$4-Input!$D$72)/(((Input!$D$72+4))-(Input!$D$72))))</f>
        <v>0.1375</v>
      </c>
      <c r="I148" s="39" t="n">
        <f aca="false">IF(I$4&lt;=Input!$D$72,Input!$H$72,IF(I$4&gt;=(Input!$D$72+4),Input!$I$72,Input!$H$72+(Input!$I$72-Input!$H$72)*(I$4-Input!$D$72)/(((Input!$D$72+4))-(Input!$D$72))))</f>
        <v>0.15</v>
      </c>
      <c r="J148" s="39" t="n">
        <f aca="false">IF(J$4&lt;=Input!$D$72,Input!$H$72,IF(J$4&gt;=(Input!$D$72+4),Input!$I$72,Input!$H$72+(Input!$I$72-Input!$H$72)*(J$4-Input!$D$72)/(((Input!$D$72+4))-(Input!$D$72))))</f>
        <v>0.15</v>
      </c>
      <c r="K148" s="39" t="n">
        <f aca="false">IF(K$4&lt;=Input!$D$72,Input!$H$72,IF(K$4&gt;=(Input!$D$72+4),Input!$I$72,Input!$H$72+(Input!$I$72-Input!$H$72)*(K$4-Input!$D$72)/(((Input!$D$72+4))-(Input!$D$72))))</f>
        <v>0.15</v>
      </c>
      <c r="L148" s="39" t="n">
        <f aca="false">IF(L$4&lt;=Input!$D$72,Input!$H$72,IF(L$4&gt;=(Input!$D$72+4),Input!$I$72,Input!$H$72+(Input!$I$72-Input!$H$72)*(L$4-Input!$D$72)/(((Input!$D$72+4))-(Input!$D$72))))</f>
        <v>0.15</v>
      </c>
      <c r="M148" s="39" t="n">
        <f aca="false">IF(M$4&lt;=Input!$D$72,Input!$H$72,IF(M$4&gt;=(Input!$D$72+4),Input!$I$72,Input!$H$72+(Input!$I$72-Input!$H$72)*(M$4-Input!$D$72)/(((Input!$D$72+4))-(Input!$D$72))))</f>
        <v>0.15</v>
      </c>
      <c r="P148" s="3" t="s">
        <v>330</v>
      </c>
      <c r="Q148" s="37" t="n">
        <f aca="false">Q147*(1-Input!$B$12/Input!$K$72)</f>
        <v>0.9688293375</v>
      </c>
    </row>
    <row r="149" customFormat="false" ht="15" hidden="false" customHeight="false" outlineLevel="0" collapsed="false">
      <c r="A149" s="8" t="s">
        <v>331</v>
      </c>
      <c r="D149" s="37" t="n">
        <f aca="false">D147*D148</f>
        <v>0</v>
      </c>
      <c r="E149" s="37" t="n">
        <f aca="false">E147*E148</f>
        <v>0.1</v>
      </c>
      <c r="F149" s="37" t="n">
        <f aca="false">F147*F148</f>
        <v>0.2671875</v>
      </c>
      <c r="G149" s="37" t="n">
        <f aca="false">G147*G148</f>
        <v>0.46875</v>
      </c>
      <c r="H149" s="37" t="n">
        <f aca="false">H147*H148</f>
        <v>0.7046875</v>
      </c>
      <c r="I149" s="37" t="n">
        <f aca="false">I147*I148</f>
        <v>0.975</v>
      </c>
      <c r="J149" s="37" t="n">
        <f aca="false">J147*J148</f>
        <v>1.18125</v>
      </c>
      <c r="K149" s="37" t="n">
        <f aca="false">K147*K148</f>
        <v>1.3875</v>
      </c>
      <c r="L149" s="37" t="n">
        <f aca="false">L147*L148</f>
        <v>1.59375</v>
      </c>
      <c r="M149" s="37" t="n">
        <f aca="false">M147*M148</f>
        <v>1.8</v>
      </c>
      <c r="P149" s="3" t="s">
        <v>332</v>
      </c>
      <c r="Q149" s="15" t="n">
        <f aca="false">Q148/(Tassi!$B$14-Input!$B$12)</f>
        <v>20.9250848813928</v>
      </c>
    </row>
    <row r="150" customFormat="false" ht="15" hidden="false" customHeight="false" outlineLevel="0" collapsed="false">
      <c r="A150" s="8" t="s">
        <v>333</v>
      </c>
      <c r="D150" s="37" t="n">
        <f aca="false">(E147-D147)/Input!$J$72</f>
        <v>0.5</v>
      </c>
      <c r="E150" s="37" t="n">
        <f aca="false">(F147-E147)/Input!$J$72</f>
        <v>0.6875</v>
      </c>
      <c r="F150" s="37" t="n">
        <f aca="false">(G147-F147)/Input!$J$72</f>
        <v>0.6875</v>
      </c>
      <c r="G150" s="37" t="n">
        <f aca="false">(H147-G147)/Input!$J$72</f>
        <v>0.6875</v>
      </c>
      <c r="H150" s="37" t="n">
        <f aca="false">(I147-H147)/Input!$J$72</f>
        <v>0.6875</v>
      </c>
      <c r="I150" s="37" t="n">
        <f aca="false">(J147-I147)/Input!$J$72</f>
        <v>0.6875</v>
      </c>
      <c r="J150" s="37" t="n">
        <f aca="false">(K147-J147)/Input!$J$72</f>
        <v>0.6875</v>
      </c>
      <c r="K150" s="37" t="n">
        <f aca="false">(L147-K147)/Input!$J$72</f>
        <v>0.6875</v>
      </c>
      <c r="L150" s="37" t="n">
        <f aca="false">(M147-L147)/Input!$J$72</f>
        <v>0.6875</v>
      </c>
      <c r="M150" s="37" t="n">
        <f aca="false">(N147-M147)/Input!$J$72</f>
        <v>0.249000000000001</v>
      </c>
      <c r="P150" s="3" t="s">
        <v>334</v>
      </c>
      <c r="Q150" s="15" t="n">
        <f aca="false">SUMPRODUCT($D151:$M151,Tassi!$D$23:$M$23)+Q149*Tassi!$M$23</f>
        <v>7.78810542501663</v>
      </c>
    </row>
    <row r="151" customFormat="false" ht="15" hidden="false" customHeight="false" outlineLevel="0" collapsed="false">
      <c r="A151" s="8" t="s">
        <v>335</v>
      </c>
      <c r="D151" s="37" t="n">
        <f aca="false">D149*(1-Input!$B$9)-D150</f>
        <v>-0.5</v>
      </c>
      <c r="E151" s="37" t="n">
        <f aca="false">E149*(1-Input!$B$9)-E150</f>
        <v>-0.6085</v>
      </c>
      <c r="F151" s="37" t="n">
        <f aca="false">F149*(1-Input!$B$9)-F150</f>
        <v>-0.476421875</v>
      </c>
      <c r="G151" s="37" t="n">
        <f aca="false">G149*(1-Input!$B$9)-G150</f>
        <v>-0.3171875</v>
      </c>
      <c r="H151" s="37" t="n">
        <f aca="false">H149*(1-Input!$B$9)-H150</f>
        <v>-0.130796875</v>
      </c>
      <c r="I151" s="37" t="n">
        <f aca="false">I149*(1-Input!$B$9)-I150</f>
        <v>0.08275</v>
      </c>
      <c r="J151" s="37" t="n">
        <f aca="false">J149*(1-Input!$B$9)-J150</f>
        <v>0.2456875</v>
      </c>
      <c r="K151" s="37" t="n">
        <f aca="false">K149*(1-Input!$B$9)-K150</f>
        <v>0.408625</v>
      </c>
      <c r="L151" s="37" t="n">
        <f aca="false">L149*(1-Input!$B$9)-L150</f>
        <v>0.5715625</v>
      </c>
      <c r="M151" s="37" t="n">
        <f aca="false">M149*(1-Input!$B$9)-M150</f>
        <v>1.173</v>
      </c>
      <c r="P151" s="3" t="s">
        <v>336</v>
      </c>
      <c r="Q151" s="15" t="n">
        <f aca="false">SUMPRODUCT($D151:$M151,Tassi!$D$26:$M$26)+Q149*Tassi!$M$26</f>
        <v>8.1209226849952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5" min="3" style="0" width="11"/>
    <col collapsed="false" customWidth="true" hidden="false" outlineLevel="0" max="6" min="6" style="0" width="3"/>
    <col collapsed="false" customWidth="true" hidden="false" outlineLevel="0" max="14" min="7" style="0" width="11"/>
  </cols>
  <sheetData>
    <row r="1" customFormat="false" ht="24" hidden="false" customHeight="true" outlineLevel="0" collapsed="false">
      <c r="A1" s="1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355</v>
      </c>
    </row>
    <row r="4" customFormat="false" ht="15" hidden="false" customHeight="false" outlineLevel="0" collapsed="false">
      <c r="A4" s="4" t="s">
        <v>211</v>
      </c>
      <c r="B4" s="4" t="s">
        <v>212</v>
      </c>
      <c r="C4" s="4" t="s">
        <v>356</v>
      </c>
      <c r="D4" s="4" t="s">
        <v>357</v>
      </c>
      <c r="E4" s="4" t="s">
        <v>358</v>
      </c>
      <c r="F4" s="4"/>
      <c r="G4" s="4" t="s">
        <v>359</v>
      </c>
      <c r="H4" s="4" t="s">
        <v>360</v>
      </c>
      <c r="I4" s="4" t="s">
        <v>361</v>
      </c>
      <c r="J4" s="4" t="s">
        <v>362</v>
      </c>
      <c r="K4" s="4" t="s">
        <v>301</v>
      </c>
      <c r="L4" s="4" t="s">
        <v>302</v>
      </c>
      <c r="M4" s="4" t="s">
        <v>303</v>
      </c>
      <c r="N4" s="4" t="s">
        <v>304</v>
      </c>
    </row>
    <row r="5" customFormat="false" ht="15" hidden="false" customHeight="false" outlineLevel="0" collapsed="false">
      <c r="A5" s="6" t="s">
        <v>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false" ht="15" hidden="false" customHeight="false" outlineLevel="0" collapsed="false">
      <c r="A6" s="8" t="s">
        <v>223</v>
      </c>
      <c r="B6" s="8" t="s">
        <v>224</v>
      </c>
      <c r="C6" s="10" t="n">
        <f aca="false">Blocchi!$Q$10</f>
        <v>14.4462007324475</v>
      </c>
      <c r="D6" s="10" t="n">
        <f aca="false">Blocchi!$Q$11</f>
        <v>15.0507888896885</v>
      </c>
      <c r="G6" s="39" t="n">
        <v>1</v>
      </c>
      <c r="H6" s="39" t="n">
        <v>1</v>
      </c>
      <c r="I6" s="39" t="n">
        <v>1</v>
      </c>
      <c r="J6" s="39" t="n">
        <v>1</v>
      </c>
      <c r="K6" s="15" t="n">
        <f aca="false">G6*$C6</f>
        <v>14.4462007324475</v>
      </c>
      <c r="L6" s="15" t="n">
        <f aca="false">H6*$C6</f>
        <v>14.4462007324475</v>
      </c>
      <c r="M6" s="15" t="n">
        <f aca="false">I6*$C6</f>
        <v>14.4462007324475</v>
      </c>
      <c r="N6" s="15" t="n">
        <f aca="false">J6*$C6</f>
        <v>14.4462007324475</v>
      </c>
    </row>
    <row r="7" customFormat="false" ht="15" hidden="false" customHeight="false" outlineLevel="0" collapsed="false">
      <c r="A7" s="8" t="s">
        <v>225</v>
      </c>
      <c r="B7" s="8" t="s">
        <v>226</v>
      </c>
      <c r="C7" s="10" t="n">
        <f aca="false">Blocchi!$Q$19</f>
        <v>4.46890984102906</v>
      </c>
      <c r="D7" s="10" t="n">
        <f aca="false">Blocchi!$Q$20</f>
        <v>4.6654073585413</v>
      </c>
      <c r="G7" s="33" t="n">
        <f aca="false">Probabilita!$N$5</f>
        <v>0.9</v>
      </c>
      <c r="H7" s="33" t="n">
        <f aca="false">Probabilita!$O$5</f>
        <v>0.8</v>
      </c>
      <c r="I7" s="33" t="n">
        <f aca="false">Probabilita!$P$5</f>
        <v>0.9</v>
      </c>
      <c r="J7" s="33" t="n">
        <f aca="false">Probabilita!$Q$5</f>
        <v>0.9</v>
      </c>
      <c r="K7" s="15" t="n">
        <f aca="false">G7*$C7</f>
        <v>4.02201885692616</v>
      </c>
      <c r="L7" s="15" t="n">
        <f aca="false">H7*$C7</f>
        <v>3.57512787282325</v>
      </c>
      <c r="M7" s="15" t="n">
        <f aca="false">I7*$C7</f>
        <v>4.02201885692616</v>
      </c>
      <c r="N7" s="15" t="n">
        <f aca="false">J7*$C7</f>
        <v>4.02201885692616</v>
      </c>
    </row>
    <row r="8" customFormat="false" ht="15" hidden="false" customHeight="false" outlineLevel="0" collapsed="false">
      <c r="A8" s="8" t="s">
        <v>227</v>
      </c>
      <c r="B8" s="8" t="s">
        <v>228</v>
      </c>
      <c r="C8" s="10" t="n">
        <f aca="false">Blocchi!$Q$28</f>
        <v>8.56736278750956</v>
      </c>
      <c r="D8" s="10" t="n">
        <f aca="false">Blocchi!$Q$29</f>
        <v>8.92548171638696</v>
      </c>
      <c r="G8" s="33" t="n">
        <f aca="false">Probabilita!$N$6</f>
        <v>0.585</v>
      </c>
      <c r="H8" s="33" t="n">
        <f aca="false">Probabilita!$O$6</f>
        <v>0.36</v>
      </c>
      <c r="I8" s="33" t="n">
        <f aca="false">Probabilita!$P$6</f>
        <v>0.585</v>
      </c>
      <c r="J8" s="33" t="n">
        <f aca="false">Probabilita!$Q$6</f>
        <v>0.585</v>
      </c>
      <c r="K8" s="15" t="n">
        <f aca="false">G8*$C8</f>
        <v>5.01190723069309</v>
      </c>
      <c r="L8" s="15" t="n">
        <f aca="false">H8*$C8</f>
        <v>3.08425060350344</v>
      </c>
      <c r="M8" s="15" t="n">
        <f aca="false">I8*$C8</f>
        <v>5.01190723069309</v>
      </c>
      <c r="N8" s="15" t="n">
        <f aca="false">J8*$C8</f>
        <v>5.01190723069309</v>
      </c>
    </row>
    <row r="9" customFormat="false" ht="15" hidden="false" customHeight="false" outlineLevel="0" collapsed="false">
      <c r="A9" s="8" t="s">
        <v>229</v>
      </c>
      <c r="B9" s="8" t="s">
        <v>230</v>
      </c>
      <c r="C9" s="10" t="n">
        <f aca="false">Blocchi!$Q$37</f>
        <v>2.45526449203143</v>
      </c>
      <c r="D9" s="10" t="n">
        <f aca="false">Blocchi!$Q$38</f>
        <v>2.55789545465144</v>
      </c>
      <c r="G9" s="33" t="n">
        <f aca="false">Probabilita!$N$8</f>
        <v>0.1638</v>
      </c>
      <c r="H9" s="33" t="n">
        <f aca="false">Probabilita!$O$8</f>
        <v>0.1008</v>
      </c>
      <c r="I9" s="33" t="n">
        <f aca="false">Probabilita!$P$8</f>
        <v>0.1638</v>
      </c>
      <c r="J9" s="33" t="n">
        <f aca="false">Probabilita!$Q$8</f>
        <v>0.1638</v>
      </c>
      <c r="K9" s="15" t="n">
        <f aca="false">G9*$C9</f>
        <v>0.402172323794748</v>
      </c>
      <c r="L9" s="15" t="n">
        <f aca="false">H9*$C9</f>
        <v>0.247490660796768</v>
      </c>
      <c r="M9" s="15" t="n">
        <f aca="false">I9*$C9</f>
        <v>0.402172323794748</v>
      </c>
      <c r="N9" s="15" t="n">
        <f aca="false">J9*$C9</f>
        <v>0.402172323794748</v>
      </c>
    </row>
    <row r="10" customFormat="false" ht="15" hidden="false" customHeight="false" outlineLevel="0" collapsed="false">
      <c r="A10" s="8" t="s">
        <v>231</v>
      </c>
      <c r="B10" s="8" t="s">
        <v>232</v>
      </c>
      <c r="C10" s="10" t="n">
        <f aca="false">Blocchi!$Q$46</f>
        <v>22.4408904095968</v>
      </c>
      <c r="D10" s="10" t="n">
        <f aca="false">Blocchi!$Q$47</f>
        <v>23.3789279172715</v>
      </c>
      <c r="G10" s="33" t="n">
        <f aca="false">Probabilita!$N$9</f>
        <v>0.26325</v>
      </c>
      <c r="H10" s="33" t="n">
        <f aca="false">Probabilita!$O$9</f>
        <v>0.09</v>
      </c>
      <c r="I10" s="33" t="n">
        <f aca="false">Probabilita!$P$9</f>
        <v>0.26325</v>
      </c>
      <c r="J10" s="33" t="n">
        <f aca="false">Probabilita!$Q$9</f>
        <v>0.26325</v>
      </c>
      <c r="K10" s="15" t="n">
        <f aca="false">G10*$C10</f>
        <v>5.90756440032637</v>
      </c>
      <c r="L10" s="15" t="n">
        <f aca="false">H10*$C10</f>
        <v>2.01968013686371</v>
      </c>
      <c r="M10" s="15" t="n">
        <f aca="false">I10*$C10</f>
        <v>5.90756440032637</v>
      </c>
      <c r="N10" s="15" t="n">
        <f aca="false">J10*$C10</f>
        <v>5.90756440032637</v>
      </c>
    </row>
    <row r="11" customFormat="false" ht="15" hidden="false" customHeight="false" outlineLevel="0" collapsed="false">
      <c r="A11" s="8" t="s">
        <v>363</v>
      </c>
      <c r="C11" s="15" t="n">
        <f aca="false">(Input!$B$21-Input!$B$22)*Tassi!$C$23</f>
        <v>-3.40383026100341</v>
      </c>
      <c r="D11" s="15" t="n">
        <f aca="false">(Input!$B$21-Input!$B$22)*Tassi!$C$26</f>
        <v>-3.4318223349147</v>
      </c>
    </row>
    <row r="12" customFormat="false" ht="15" hidden="false" customHeight="false" outlineLevel="0" collapsed="false">
      <c r="A12" s="8" t="s">
        <v>364</v>
      </c>
      <c r="C12" s="15" t="n">
        <f aca="false">-(Input!$B$27*(1-Input!$B$9)*Tassi!$D$23+Input!$B$28*(1-Input!$B$9)*Tassi!$E$23+Input!$B$29*(1-Input!$B$9)*Tassi!$F$23+Input!$B$30*(1-Input!$B$9)*Tassi!$G$23)</f>
        <v>-7.04818848457706</v>
      </c>
      <c r="D12" s="15" t="n">
        <f aca="false">-(Input!$B$27*(1-Input!$B$9)*Tassi!$D$26+Input!$B$28*(1-Input!$B$9)*Tassi!$E$26+Input!$B$29*(1-Input!$B$9)*Tassi!$F$26+Input!$B$30*(1-Input!$B$9)*Tassi!$G$26)</f>
        <v>-7.29684900191427</v>
      </c>
    </row>
    <row r="13" customFormat="false" ht="15" hidden="false" customHeight="false" outlineLevel="0" collapsed="false">
      <c r="A13" s="8" t="s">
        <v>365</v>
      </c>
      <c r="K13" s="15" t="n">
        <v>0</v>
      </c>
      <c r="L13" s="15" t="n">
        <v>0</v>
      </c>
      <c r="M13" s="15" t="n">
        <v>0</v>
      </c>
      <c r="N13" s="15" t="n">
        <v>0</v>
      </c>
    </row>
    <row r="14" customFormat="false" ht="15" hidden="false" customHeight="false" outlineLevel="0" collapsed="false">
      <c r="A14" s="4" t="s">
        <v>366</v>
      </c>
      <c r="B14" s="4"/>
      <c r="C14" s="40" t="n">
        <f aca="false">SUM(C6:C10)+C11+C12</f>
        <v>41.9266095170339</v>
      </c>
      <c r="D14" s="41" t="n">
        <f aca="false">SUM(D6:D10)+D11+D12</f>
        <v>43.8498299997107</v>
      </c>
      <c r="E14" s="4"/>
      <c r="K14" s="41" t="n">
        <f aca="false">SUM(K6:K10)+$C$11+$C$12+K13</f>
        <v>19.3378447986074</v>
      </c>
      <c r="L14" s="41" t="n">
        <f aca="false">SUM(L6:L10)+$C$11+$C$12+L13</f>
        <v>12.9207312608542</v>
      </c>
      <c r="M14" s="41" t="n">
        <f aca="false">SUM(M6:M10)+$C$11+$C$12+M13</f>
        <v>19.3378447986074</v>
      </c>
      <c r="N14" s="41" t="n">
        <f aca="false">SUM(N6:N10)+$C$11+$C$12+N13</f>
        <v>19.3378447986074</v>
      </c>
    </row>
    <row r="16" customFormat="false" ht="15" hidden="false" customHeight="false" outlineLevel="0" collapsed="false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customFormat="false" ht="15" hidden="false" customHeight="false" outlineLevel="0" collapsed="false">
      <c r="A17" s="8" t="s">
        <v>234</v>
      </c>
      <c r="B17" s="8" t="s">
        <v>224</v>
      </c>
      <c r="C17" s="10" t="n">
        <f aca="false">Blocchi!$Q$55</f>
        <v>400.560205087442</v>
      </c>
      <c r="D17" s="10" t="n">
        <f aca="false">Blocchi!$Q$56</f>
        <v>421.597783032614</v>
      </c>
      <c r="G17" s="39" t="n">
        <v>1</v>
      </c>
      <c r="H17" s="39" t="n">
        <v>1</v>
      </c>
      <c r="I17" s="39" t="n">
        <v>1</v>
      </c>
      <c r="J17" s="39" t="n">
        <v>1</v>
      </c>
      <c r="K17" s="15" t="n">
        <f aca="false">G17*$C17</f>
        <v>400.560205087442</v>
      </c>
      <c r="L17" s="15" t="n">
        <f aca="false">H17*$C17</f>
        <v>400.560205087442</v>
      </c>
      <c r="M17" s="15" t="n">
        <f aca="false">I17*$C17</f>
        <v>400.560205087442</v>
      </c>
      <c r="N17" s="15" t="n">
        <f aca="false">J17*$C17</f>
        <v>400.560205087442</v>
      </c>
    </row>
    <row r="18" customFormat="false" ht="15" hidden="false" customHeight="false" outlineLevel="0" collapsed="false">
      <c r="A18" s="8" t="s">
        <v>235</v>
      </c>
      <c r="B18" s="8" t="s">
        <v>236</v>
      </c>
      <c r="C18" s="10" t="n">
        <f aca="false">Blocchi!$Q$64</f>
        <v>137.627722109892</v>
      </c>
      <c r="D18" s="10" t="n">
        <f aca="false">Blocchi!$Q$65</f>
        <v>144.886591613761</v>
      </c>
      <c r="G18" s="33" t="n">
        <f aca="false">Probabilita!$N$10</f>
        <v>0.468</v>
      </c>
      <c r="H18" s="33" t="n">
        <f aca="false">Probabilita!$O$10</f>
        <v>0.216</v>
      </c>
      <c r="I18" s="33" t="n">
        <f aca="false">Probabilita!$P$10</f>
        <v>0.351</v>
      </c>
      <c r="J18" s="33" t="n">
        <f aca="false">Probabilita!$Q$10</f>
        <v>0.468</v>
      </c>
      <c r="K18" s="15" t="n">
        <f aca="false">G18*$C18</f>
        <v>64.4097739474297</v>
      </c>
      <c r="L18" s="15" t="n">
        <f aca="false">H18*$C18</f>
        <v>29.7275879757368</v>
      </c>
      <c r="M18" s="15" t="n">
        <f aca="false">I18*$C18</f>
        <v>48.3073304605722</v>
      </c>
      <c r="N18" s="15" t="n">
        <f aca="false">J18*$C18</f>
        <v>64.4097739474297</v>
      </c>
    </row>
    <row r="19" customFormat="false" ht="15" hidden="false" customHeight="false" outlineLevel="0" collapsed="false">
      <c r="A19" s="8" t="s">
        <v>237</v>
      </c>
      <c r="B19" s="8" t="s">
        <v>238</v>
      </c>
      <c r="C19" s="10" t="n">
        <f aca="false">Blocchi!$Q$73</f>
        <v>68.8498165052752</v>
      </c>
      <c r="D19" s="10" t="n">
        <f aca="false">Blocchi!$Q$74</f>
        <v>72.481147647834</v>
      </c>
      <c r="G19" s="33" t="n">
        <f aca="false">Probabilita!$N$12</f>
        <v>0.3276</v>
      </c>
      <c r="H19" s="33" t="n">
        <f aca="false">Probabilita!$O$12</f>
        <v>0.1512</v>
      </c>
      <c r="I19" s="33" t="n">
        <f aca="false">Probabilita!$P$12</f>
        <v>0.2457</v>
      </c>
      <c r="J19" s="33" t="n">
        <f aca="false">Probabilita!$Q$12</f>
        <v>0.3276</v>
      </c>
      <c r="K19" s="15" t="n">
        <f aca="false">G19*$C19</f>
        <v>22.5551998871282</v>
      </c>
      <c r="L19" s="15" t="n">
        <f aca="false">H19*$C19</f>
        <v>10.4100922555976</v>
      </c>
      <c r="M19" s="15" t="n">
        <f aca="false">I19*$C19</f>
        <v>16.9163999153461</v>
      </c>
      <c r="N19" s="15" t="n">
        <f aca="false">J19*$C19</f>
        <v>22.5551998871282</v>
      </c>
    </row>
    <row r="20" customFormat="false" ht="15" hidden="false" customHeight="false" outlineLevel="0" collapsed="false">
      <c r="A20" s="8" t="s">
        <v>239</v>
      </c>
      <c r="B20" s="8" t="s">
        <v>240</v>
      </c>
      <c r="C20" s="10" t="n">
        <f aca="false">Blocchi!$Q$82</f>
        <v>81.3385920921134</v>
      </c>
      <c r="D20" s="10" t="n">
        <f aca="false">Blocchi!$Q$83</f>
        <v>85.6631945475934</v>
      </c>
      <c r="G20" s="33" t="n">
        <f aca="false">Probabilita!$N$11</f>
        <v>0.88</v>
      </c>
      <c r="H20" s="33" t="n">
        <f aca="false">Probabilita!$O$11</f>
        <v>0.88</v>
      </c>
      <c r="I20" s="33" t="n">
        <f aca="false">Probabilita!$P$11</f>
        <v>0.88</v>
      </c>
      <c r="J20" s="33" t="n">
        <f aca="false">Probabilita!$Q$11</f>
        <v>0.88</v>
      </c>
      <c r="K20" s="15" t="n">
        <f aca="false">G20*$C20</f>
        <v>71.5779610410598</v>
      </c>
      <c r="L20" s="15" t="n">
        <f aca="false">H20*$C20</f>
        <v>71.5779610410598</v>
      </c>
      <c r="M20" s="15" t="n">
        <f aca="false">I20*$C20</f>
        <v>71.5779610410598</v>
      </c>
      <c r="N20" s="15" t="n">
        <f aca="false">J20*$C20</f>
        <v>71.5779610410598</v>
      </c>
    </row>
    <row r="21" customFormat="false" ht="15" hidden="false" customHeight="false" outlineLevel="0" collapsed="false">
      <c r="A21" s="8" t="s">
        <v>241</v>
      </c>
      <c r="B21" s="8" t="s">
        <v>242</v>
      </c>
      <c r="C21" s="10" t="n">
        <f aca="false">Blocchi!$Q$91</f>
        <v>41.3151217743407</v>
      </c>
      <c r="D21" s="10" t="n">
        <f aca="false">Blocchi!$Q$92</f>
        <v>43.4941964033381</v>
      </c>
      <c r="G21" s="33" t="n">
        <f aca="false">Probabilita!$N$13</f>
        <v>0.6</v>
      </c>
      <c r="H21" s="33" t="n">
        <f aca="false">Probabilita!$O$13</f>
        <v>0.6</v>
      </c>
      <c r="I21" s="33" t="n">
        <f aca="false">Probabilita!$P$13</f>
        <v>0.6</v>
      </c>
      <c r="J21" s="33" t="n">
        <f aca="false">Probabilita!$Q$13</f>
        <v>0.6</v>
      </c>
      <c r="K21" s="15" t="n">
        <f aca="false">G21*$C21</f>
        <v>24.7890730646044</v>
      </c>
      <c r="L21" s="15" t="n">
        <f aca="false">H21*$C21</f>
        <v>24.7890730646044</v>
      </c>
      <c r="M21" s="15" t="n">
        <f aca="false">I21*$C21</f>
        <v>24.7890730646044</v>
      </c>
      <c r="N21" s="15" t="n">
        <f aca="false">J21*$C21</f>
        <v>24.7890730646044</v>
      </c>
    </row>
    <row r="22" customFormat="false" ht="15" hidden="false" customHeight="false" outlineLevel="0" collapsed="false">
      <c r="A22" s="8" t="s">
        <v>363</v>
      </c>
      <c r="C22" s="15" t="n">
        <f aca="false">(Input!$B$23-Input!$B$24)*Tassi!$C$29</f>
        <v>0.728189161884336</v>
      </c>
      <c r="D22" s="15" t="n">
        <f aca="false">(Input!$B$23-Input!$B$24)*Tassi!$C$32</f>
        <v>0.735713398965217</v>
      </c>
    </row>
    <row r="23" customFormat="false" ht="15" hidden="false" customHeight="false" outlineLevel="0" collapsed="false">
      <c r="A23" s="8" t="s">
        <v>364</v>
      </c>
      <c r="C23" s="15" t="n">
        <v>0</v>
      </c>
      <c r="D23" s="15" t="n">
        <v>0</v>
      </c>
    </row>
    <row r="24" customFormat="false" ht="15" hidden="false" customHeight="false" outlineLevel="0" collapsed="false">
      <c r="A24" s="8" t="s">
        <v>365</v>
      </c>
      <c r="K24" s="15" t="n">
        <v>0</v>
      </c>
      <c r="L24" s="15" t="n">
        <v>0</v>
      </c>
      <c r="M24" s="15" t="n">
        <v>0</v>
      </c>
      <c r="N24" s="15" t="n">
        <v>0</v>
      </c>
    </row>
    <row r="25" customFormat="false" ht="15" hidden="false" customHeight="false" outlineLevel="0" collapsed="false">
      <c r="A25" s="4" t="s">
        <v>367</v>
      </c>
      <c r="B25" s="4"/>
      <c r="C25" s="40" t="n">
        <f aca="false">SUM(C17:C21)+C22+C23</f>
        <v>730.419646730948</v>
      </c>
      <c r="D25" s="41" t="n">
        <f aca="false">SUM(D17:D21)+D22+D23</f>
        <v>768.858626644106</v>
      </c>
      <c r="E25" s="4"/>
      <c r="K25" s="41" t="n">
        <f aca="false">SUM(K17:K21)+$C$22+$C$23+K24</f>
        <v>584.620402189548</v>
      </c>
      <c r="L25" s="41" t="n">
        <f aca="false">SUM(L17:L21)+$C$22+$C$23+L24</f>
        <v>537.793108586325</v>
      </c>
      <c r="M25" s="41" t="n">
        <f aca="false">SUM(M17:M21)+$C$22+$C$23+M24</f>
        <v>562.879158730909</v>
      </c>
      <c r="N25" s="41" t="n">
        <f aca="false">SUM(N17:N21)+$C$22+$C$23+N24</f>
        <v>584.620402189548</v>
      </c>
    </row>
    <row r="27" customFormat="false" ht="15" hidden="false" customHeight="false" outlineLevel="0" collapsed="false">
      <c r="A27" s="6" t="s">
        <v>43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customFormat="false" ht="15" hidden="false" customHeight="false" outlineLevel="0" collapsed="false">
      <c r="A28" s="8" t="s">
        <v>243</v>
      </c>
      <c r="B28" s="8" t="s">
        <v>224</v>
      </c>
      <c r="C28" s="10" t="n">
        <f aca="false">Blocchi!$Q$100</f>
        <v>-27.9561328124034</v>
      </c>
      <c r="D28" s="10" t="n">
        <f aca="false">Blocchi!$Q$101</f>
        <v>-29.1561388843466</v>
      </c>
      <c r="E28" s="10" t="n">
        <f aca="false">Blocchi!$Q$102</f>
        <v>-27.9408033721734</v>
      </c>
      <c r="G28" s="39" t="n">
        <v>1</v>
      </c>
      <c r="H28" s="39" t="n">
        <v>1</v>
      </c>
      <c r="I28" s="39" t="n">
        <v>1</v>
      </c>
      <c r="J28" s="39" t="n">
        <v>1</v>
      </c>
      <c r="K28" s="15" t="n">
        <f aca="false">G28*$C28</f>
        <v>-27.9561328124034</v>
      </c>
      <c r="L28" s="15" t="n">
        <f aca="false">H28*$E28</f>
        <v>-27.9408033721734</v>
      </c>
      <c r="M28" s="15" t="n">
        <f aca="false">I28*$C28</f>
        <v>-27.9561328124034</v>
      </c>
      <c r="N28" s="15" t="n">
        <f aca="false">J28*$C28</f>
        <v>-27.9561328124034</v>
      </c>
    </row>
    <row r="29" customFormat="false" ht="15" hidden="false" customHeight="false" outlineLevel="0" collapsed="false">
      <c r="A29" s="8" t="s">
        <v>244</v>
      </c>
      <c r="B29" s="8" t="s">
        <v>245</v>
      </c>
      <c r="C29" s="10" t="n">
        <f aca="false">Blocchi!$Q$110</f>
        <v>-6.78689831163085</v>
      </c>
      <c r="D29" s="10" t="n">
        <f aca="false">Blocchi!$Q$111</f>
        <v>-6.66608763775629</v>
      </c>
      <c r="E29" s="10" t="n">
        <f aca="false">Blocchi!$Q$112</f>
        <v>-7.24168571362097</v>
      </c>
      <c r="G29" s="33" t="n">
        <f aca="false">Probabilita!$N$14</f>
        <v>0.55</v>
      </c>
      <c r="H29" s="33" t="n">
        <f aca="false">Probabilita!$O$14</f>
        <v>0.55</v>
      </c>
      <c r="I29" s="33" t="n">
        <f aca="false">Probabilita!$P$14</f>
        <v>0.55</v>
      </c>
      <c r="J29" s="33" t="n">
        <f aca="false">Probabilita!$Q$14</f>
        <v>0.55</v>
      </c>
      <c r="K29" s="15" t="n">
        <f aca="false">G29*$C29</f>
        <v>-3.73279407139697</v>
      </c>
      <c r="L29" s="15" t="n">
        <f aca="false">H29*$E29</f>
        <v>-3.98292714249154</v>
      </c>
      <c r="M29" s="15" t="n">
        <f aca="false">I29*$C29</f>
        <v>-3.73279407139697</v>
      </c>
      <c r="N29" s="15" t="n">
        <f aca="false">J29*$C29</f>
        <v>-3.73279407139697</v>
      </c>
    </row>
    <row r="30" customFormat="false" ht="15" hidden="false" customHeight="false" outlineLevel="0" collapsed="false">
      <c r="A30" s="8" t="s">
        <v>246</v>
      </c>
      <c r="B30" s="8" t="s">
        <v>247</v>
      </c>
      <c r="C30" s="10" t="n">
        <f aca="false">Blocchi!$Q$120</f>
        <v>268.534028892035</v>
      </c>
      <c r="D30" s="10" t="n">
        <f aca="false">Blocchi!$Q$121</f>
        <v>282.727479445498</v>
      </c>
      <c r="E30" s="10" t="n">
        <f aca="false">Blocchi!$Q$122</f>
        <v>264.435883057331</v>
      </c>
      <c r="G30" s="33" t="n">
        <f aca="false">Probabilita!$N$15</f>
        <v>0.65</v>
      </c>
      <c r="H30" s="33" t="n">
        <f aca="false">Probabilita!$O$15</f>
        <v>0.65</v>
      </c>
      <c r="I30" s="33" t="n">
        <f aca="false">Probabilita!$P$15</f>
        <v>0.65</v>
      </c>
      <c r="J30" s="33" t="n">
        <f aca="false">Probabilita!$Q$15</f>
        <v>0.65</v>
      </c>
      <c r="K30" s="15" t="n">
        <f aca="false">G30*$C30</f>
        <v>174.547118779823</v>
      </c>
      <c r="L30" s="15" t="n">
        <f aca="false">H30*$E30</f>
        <v>171.883323987265</v>
      </c>
      <c r="M30" s="15" t="n">
        <f aca="false">I30*$C30</f>
        <v>174.547118779823</v>
      </c>
      <c r="N30" s="15" t="n">
        <f aca="false">J30*$C30</f>
        <v>174.547118779823</v>
      </c>
    </row>
    <row r="31" customFormat="false" ht="15" hidden="false" customHeight="false" outlineLevel="0" collapsed="false">
      <c r="A31" s="8" t="s">
        <v>248</v>
      </c>
      <c r="B31" s="8" t="s">
        <v>249</v>
      </c>
      <c r="C31" s="10" t="n">
        <f aca="false">Blocchi!$Q$130</f>
        <v>70.7059873559436</v>
      </c>
      <c r="D31" s="10" t="n">
        <f aca="false">Blocchi!$Q$131</f>
        <v>74.2755380893481</v>
      </c>
      <c r="E31" s="10" t="n">
        <f aca="false">Blocchi!$Q$132</f>
        <v>69.9799966144492</v>
      </c>
      <c r="G31" s="33" t="n">
        <f aca="false">Probabilita!$N$16</f>
        <v>0.2475</v>
      </c>
      <c r="H31" s="33" t="n">
        <f aca="false">Probabilita!$O$16</f>
        <v>0.2475</v>
      </c>
      <c r="I31" s="33" t="n">
        <f aca="false">Probabilita!$P$16</f>
        <v>0.2475</v>
      </c>
      <c r="J31" s="33" t="n">
        <f aca="false">Probabilita!$Q$16</f>
        <v>0.2475</v>
      </c>
      <c r="K31" s="15" t="n">
        <f aca="false">G31*$C31</f>
        <v>17.4997318705961</v>
      </c>
      <c r="L31" s="15" t="n">
        <f aca="false">H31*$E31</f>
        <v>17.3200491620762</v>
      </c>
      <c r="M31" s="15" t="n">
        <f aca="false">I31*$C31</f>
        <v>17.4997318705961</v>
      </c>
      <c r="N31" s="15" t="n">
        <f aca="false">J31*$C31</f>
        <v>17.4997318705961</v>
      </c>
    </row>
    <row r="32" customFormat="false" ht="15" hidden="false" customHeight="false" outlineLevel="0" collapsed="false">
      <c r="A32" s="8" t="s">
        <v>250</v>
      </c>
      <c r="B32" s="8" t="s">
        <v>251</v>
      </c>
      <c r="C32" s="10" t="n">
        <f aca="false">Blocchi!$Q$140</f>
        <v>95.8991330959769</v>
      </c>
      <c r="D32" s="10" t="n">
        <f aca="false">Blocchi!$Q$141</f>
        <v>100.740545169785</v>
      </c>
      <c r="E32" s="10" t="n">
        <f aca="false">Blocchi!$Q$142</f>
        <v>94.3327099610732</v>
      </c>
      <c r="G32" s="33" t="n">
        <f aca="false">Probabilita!$N$17</f>
        <v>0.026208</v>
      </c>
      <c r="H32" s="33" t="n">
        <f aca="false">Probabilita!$O$17</f>
        <v>0</v>
      </c>
      <c r="I32" s="33" t="n">
        <f aca="false">Probabilita!$P$17</f>
        <v>0</v>
      </c>
      <c r="J32" s="33" t="n">
        <f aca="false">Probabilita!$Q$17</f>
        <v>0</v>
      </c>
      <c r="K32" s="15" t="n">
        <f aca="false">G32*$C32</f>
        <v>2.51332448017936</v>
      </c>
      <c r="L32" s="15" t="n">
        <f aca="false">H32*$E32</f>
        <v>0</v>
      </c>
      <c r="M32" s="15" t="n">
        <f aca="false">I32*$C32</f>
        <v>0</v>
      </c>
      <c r="N32" s="15" t="n">
        <f aca="false">J32*$C32</f>
        <v>0</v>
      </c>
    </row>
    <row r="33" customFormat="false" ht="15" hidden="false" customHeight="false" outlineLevel="0" collapsed="false">
      <c r="A33" s="8" t="s">
        <v>363</v>
      </c>
      <c r="C33" s="15" t="n">
        <f aca="false">(Input!$B$25-Input!$B$26)*Tassi!$C$35</f>
        <v>-26.845113290504</v>
      </c>
      <c r="D33" s="15" t="n">
        <f aca="false">(Input!$B$25-Input!$B$26)*Tassi!$C$38</f>
        <v>-27.0346592769318</v>
      </c>
      <c r="E33" s="15" t="n">
        <f aca="false">(Input!$B$25-Input!$B$26)*Tassi!$C$41</f>
        <v>-26.8411429771372</v>
      </c>
    </row>
    <row r="34" customFormat="false" ht="15" hidden="false" customHeight="false" outlineLevel="0" collapsed="false">
      <c r="A34" s="8" t="s">
        <v>364</v>
      </c>
      <c r="C34" s="15" t="n">
        <v>0</v>
      </c>
      <c r="D34" s="15" t="n">
        <v>0</v>
      </c>
      <c r="E34" s="15" t="n">
        <v>0</v>
      </c>
    </row>
    <row r="35" customFormat="false" ht="15" hidden="false" customHeight="false" outlineLevel="0" collapsed="false">
      <c r="A35" s="8" t="s">
        <v>365</v>
      </c>
      <c r="K35" s="15" t="n">
        <f aca="false">(1-Probabilita!$N$14)*Input!$B$31*Input!$B$26*Tassi!$D$35</f>
        <v>2.85922515243576</v>
      </c>
      <c r="L35" s="15" t="n">
        <f aca="false">(1-Probabilita!$O$14)*Input!$B$31*Input!$B$26*Tassi!$D$41</f>
        <v>2.85795672705744</v>
      </c>
      <c r="M35" s="15" t="n">
        <f aca="false">(1-Probabilita!$P$14)*Input!$B$31*Input!$B$26*Tassi!$D$35</f>
        <v>2.85922515243576</v>
      </c>
      <c r="N35" s="15" t="n">
        <f aca="false">(1-Probabilita!$Q$14)*Input!$B$31*Input!$B$26*Tassi!$D$35</f>
        <v>2.85922515243576</v>
      </c>
    </row>
    <row r="36" customFormat="false" ht="15" hidden="false" customHeight="false" outlineLevel="0" collapsed="false">
      <c r="A36" s="4" t="s">
        <v>368</v>
      </c>
      <c r="B36" s="4"/>
      <c r="C36" s="40" t="n">
        <f aca="false">SUM(C28:C32)+C33+C34</f>
        <v>373.551004929417</v>
      </c>
      <c r="D36" s="41" t="n">
        <f aca="false">SUM(D28:D32)+D33+D34</f>
        <v>394.886676905596</v>
      </c>
      <c r="E36" s="4"/>
      <c r="K36" s="41" t="n">
        <f aca="false">SUM(K28:K32)+$C$33+$C$34+K35</f>
        <v>138.88536010873</v>
      </c>
      <c r="L36" s="41" t="n">
        <f aca="false">SUM(L28:L32)+$E$33+$E$34+L35</f>
        <v>133.296456384596</v>
      </c>
      <c r="M36" s="41" t="n">
        <f aca="false">SUM(M28:M32)+$C$33+$C$34+M35</f>
        <v>136.37203562855</v>
      </c>
      <c r="N36" s="41" t="n">
        <f aca="false">SUM(N28:N32)+$C$33+$C$34+N35</f>
        <v>136.37203562855</v>
      </c>
    </row>
    <row r="38" customFormat="false" ht="15" hidden="false" customHeight="false" outlineLevel="0" collapsed="false">
      <c r="A38" s="4" t="s">
        <v>369</v>
      </c>
      <c r="C38" s="20" t="n">
        <f aca="false">C14+C25+C36</f>
        <v>1145.8972611774</v>
      </c>
      <c r="D38" s="20" t="n">
        <f aca="false">D14+D25+D36</f>
        <v>1207.59513354941</v>
      </c>
      <c r="K38" s="20" t="n">
        <f aca="false">K14+K25+K36</f>
        <v>742.843607096885</v>
      </c>
      <c r="L38" s="20" t="n">
        <f aca="false">L14+L25+L36</f>
        <v>684.010296231776</v>
      </c>
      <c r="M38" s="20" t="n">
        <f aca="false">M14+M25+M36</f>
        <v>718.589039158067</v>
      </c>
      <c r="N38" s="20" t="n">
        <f aca="false">N14+N25+N36</f>
        <v>740.330282616706</v>
      </c>
    </row>
    <row r="39" customFormat="false" ht="15" hidden="false" customHeight="false" outlineLevel="0" collapsed="false">
      <c r="A39" s="8" t="s">
        <v>370</v>
      </c>
      <c r="L39" s="15" t="n">
        <f aca="false">L14+L25+SUMPRODUCT(H28:H32,C28:C32)+C33+C34+(1-Probabilita!$O$14)*Input!$B$31*Input!$B$26*Tassi!$D$35</f>
        <v>687.085875475729</v>
      </c>
    </row>
    <row r="41" customFormat="false" ht="15" hidden="false" customHeight="false" outlineLevel="0" collapsed="false">
      <c r="A41" s="3" t="s">
        <v>371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4"/>
    <col collapsed="false" customWidth="true" hidden="false" outlineLevel="0" max="14" min="3" style="0" width="10"/>
  </cols>
  <sheetData>
    <row r="1" customFormat="false" ht="24" hidden="false" customHeight="true" outlineLevel="0" collapsed="false">
      <c r="A1" s="1" t="s">
        <v>372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373</v>
      </c>
    </row>
    <row r="4" customFormat="false" ht="15" hidden="false" customHeight="false" outlineLevel="0" collapsed="false">
      <c r="A4" s="4" t="s">
        <v>297</v>
      </c>
      <c r="D4" s="36" t="n">
        <v>2027</v>
      </c>
      <c r="E4" s="36" t="n">
        <v>2028</v>
      </c>
      <c r="F4" s="36" t="n">
        <v>2029</v>
      </c>
      <c r="G4" s="36" t="n">
        <v>2030</v>
      </c>
      <c r="H4" s="36" t="n">
        <v>2031</v>
      </c>
      <c r="I4" s="36" t="n">
        <v>2032</v>
      </c>
      <c r="J4" s="36" t="n">
        <v>2033</v>
      </c>
      <c r="K4" s="36" t="n">
        <v>2034</v>
      </c>
      <c r="L4" s="36" t="n">
        <v>2035</v>
      </c>
      <c r="M4" s="36" t="n">
        <v>2036</v>
      </c>
    </row>
    <row r="5" customFormat="false" ht="15" hidden="false" customHeight="false" outlineLevel="0" collapsed="false">
      <c r="A5" s="6" t="s">
        <v>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false" ht="15" hidden="false" customHeight="false" outlineLevel="0" collapsed="false">
      <c r="A6" s="8" t="s">
        <v>374</v>
      </c>
      <c r="D6" s="37" t="n">
        <f aca="false">Segmenti!$H$6*Blocchi!D9+Segmenti!$H$7*Blocchi!D18+Segmenti!$H$8*Blocchi!D27+Segmenti!$H$9*Blocchi!D36+Segmenti!$H$10*Blocchi!D45-Input!$B$27</f>
        <v>-3.59393984571802</v>
      </c>
      <c r="E6" s="37" t="n">
        <f aca="false">Segmenti!$H$6*Blocchi!E9+Segmenti!$H$7*Blocchi!E18+Segmenti!$H$8*Blocchi!E27+Segmenti!$H$9*Blocchi!E36+Segmenti!$H$10*Blocchi!E45-Input!$B$28</f>
        <v>-2.90081649689061</v>
      </c>
      <c r="F6" s="37" t="n">
        <f aca="false">Segmenti!$H$6*Blocchi!F9+Segmenti!$H$7*Blocchi!F18+Segmenti!$H$8*Blocchi!F27+Segmenti!$H$9*Blocchi!F36+Segmenti!$H$10*Blocchi!F45-Input!$B$29</f>
        <v>-1.56891241688345</v>
      </c>
      <c r="G6" s="37" t="n">
        <f aca="false">Segmenti!$H$6*Blocchi!G9+Segmenti!$H$7*Blocchi!G18+Segmenti!$H$8*Blocchi!G27+Segmenti!$H$9*Blocchi!G36+Segmenti!$H$10*Blocchi!G45-Input!$B$30</f>
        <v>-0.0782925513626849</v>
      </c>
      <c r="H6" s="37" t="n">
        <f aca="false">Segmenti!$H$6*Blocchi!H9+Segmenti!$H$7*Blocchi!H18+Segmenti!$H$8*Blocchi!H27+Segmenti!$H$9*Blocchi!H36+Segmenti!$H$10*Blocchi!H45</f>
        <v>2.05853682881944</v>
      </c>
      <c r="I6" s="37" t="n">
        <f aca="false">Segmenti!$H$6*Blocchi!I9+Segmenti!$H$7*Blocchi!I18+Segmenti!$H$8*Blocchi!I27+Segmenti!$H$9*Blocchi!I36+Segmenti!$H$10*Blocchi!I45</f>
        <v>2.5325378665564</v>
      </c>
      <c r="J6" s="37" t="n">
        <f aca="false">Segmenti!$H$6*Blocchi!J9+Segmenti!$H$7*Blocchi!J18+Segmenti!$H$8*Blocchi!J27+Segmenti!$H$9*Blocchi!J36+Segmenti!$H$10*Blocchi!J45</f>
        <v>2.95324801725536</v>
      </c>
      <c r="K6" s="37" t="n">
        <f aca="false">Segmenti!$H$6*Blocchi!K9+Segmenti!$H$7*Blocchi!K18+Segmenti!$H$8*Blocchi!K27+Segmenti!$H$9*Blocchi!K36+Segmenti!$H$10*Blocchi!K45</f>
        <v>3.397162405343</v>
      </c>
      <c r="L6" s="37" t="n">
        <f aca="false">Segmenti!$H$6*Blocchi!L9+Segmenti!$H$7*Blocchi!L18+Segmenti!$H$8*Blocchi!L27+Segmenti!$H$9*Blocchi!L36+Segmenti!$H$10*Blocchi!L45</f>
        <v>3.86968625495089</v>
      </c>
      <c r="M6" s="37" t="n">
        <f aca="false">Segmenti!$H$6*Blocchi!M9+Segmenti!$H$7*Blocchi!M18+Segmenti!$H$8*Blocchi!M27+Segmenti!$H$9*Blocchi!M36+Segmenti!$H$10*Blocchi!M45</f>
        <v>4.37448</v>
      </c>
    </row>
    <row r="7" customFormat="false" ht="15" hidden="false" customHeight="false" outlineLevel="0" collapsed="false">
      <c r="A7" s="8" t="s">
        <v>375</v>
      </c>
      <c r="D7" s="37" t="n">
        <f aca="false">Input!$B$9*D6</f>
        <v>-0.754727367600784</v>
      </c>
      <c r="E7" s="37" t="n">
        <f aca="false">Input!$B$9*E6</f>
        <v>-0.609171464347028</v>
      </c>
      <c r="F7" s="37" t="n">
        <f aca="false">Input!$B$9*F6</f>
        <v>-0.329471607545525</v>
      </c>
      <c r="G7" s="37" t="n">
        <f aca="false">Input!$B$9*G6</f>
        <v>-0.0164414357861638</v>
      </c>
      <c r="H7" s="37" t="n">
        <f aca="false">Input!$B$9*H6</f>
        <v>0.432292734052082</v>
      </c>
      <c r="I7" s="37" t="n">
        <f aca="false">Input!$B$9*I6</f>
        <v>0.531832951976844</v>
      </c>
      <c r="J7" s="37" t="n">
        <f aca="false">Input!$B$9*J6</f>
        <v>0.620182083623626</v>
      </c>
      <c r="K7" s="37" t="n">
        <f aca="false">Input!$B$9*K6</f>
        <v>0.713404105122029</v>
      </c>
      <c r="L7" s="37" t="n">
        <f aca="false">Input!$B$9*L6</f>
        <v>0.812634113539686</v>
      </c>
      <c r="M7" s="37" t="n">
        <f aca="false">Input!$B$9*M6</f>
        <v>0.9186408</v>
      </c>
    </row>
    <row r="8" customFormat="false" ht="15" hidden="false" customHeight="false" outlineLevel="0" collapsed="false">
      <c r="A8" s="8" t="s">
        <v>376</v>
      </c>
      <c r="D8" s="37" t="n">
        <v>0</v>
      </c>
      <c r="E8" s="37" t="n">
        <f aca="false">D10</f>
        <v>3.59393984571802</v>
      </c>
      <c r="F8" s="37" t="n">
        <f aca="false">E10</f>
        <v>6.49475634260863</v>
      </c>
      <c r="G8" s="37" t="n">
        <f aca="false">F10</f>
        <v>8.06366875949208</v>
      </c>
      <c r="H8" s="37" t="n">
        <f aca="false">G10</f>
        <v>8.14196131085476</v>
      </c>
      <c r="I8" s="37" t="n">
        <f aca="false">H10</f>
        <v>6.49513184779922</v>
      </c>
      <c r="J8" s="37" t="n">
        <f aca="false">I10</f>
        <v>4.46910155455409</v>
      </c>
      <c r="K8" s="37" t="n">
        <f aca="false">J10</f>
        <v>2.10650314074981</v>
      </c>
      <c r="L8" s="37" t="n">
        <f aca="false">K10</f>
        <v>0</v>
      </c>
      <c r="M8" s="37" t="n">
        <f aca="false">L10</f>
        <v>0</v>
      </c>
    </row>
    <row r="9" customFormat="false" ht="15" hidden="false" customHeight="false" outlineLevel="0" collapsed="false">
      <c r="A9" s="8" t="s">
        <v>377</v>
      </c>
      <c r="D9" s="37" t="n">
        <f aca="false">IF(D6&lt;=0,0,MIN(D8,Input!$B$44*D6))</f>
        <v>0</v>
      </c>
      <c r="E9" s="37" t="n">
        <f aca="false">IF(E6&lt;=0,0,MIN(E8,Input!$B$44*E6))</f>
        <v>0</v>
      </c>
      <c r="F9" s="37" t="n">
        <f aca="false">IF(F6&lt;=0,0,MIN(F8,Input!$B$44*F6))</f>
        <v>0</v>
      </c>
      <c r="G9" s="37" t="n">
        <f aca="false">IF(G6&lt;=0,0,MIN(G8,Input!$B$44*G6))</f>
        <v>0</v>
      </c>
      <c r="H9" s="37" t="n">
        <f aca="false">IF(H6&lt;=0,0,MIN(H8,Input!$B$44*H6))</f>
        <v>1.64682946305555</v>
      </c>
      <c r="I9" s="37" t="n">
        <f aca="false">IF(I6&lt;=0,0,MIN(I8,Input!$B$44*I6))</f>
        <v>2.02603029324512</v>
      </c>
      <c r="J9" s="37" t="n">
        <f aca="false">IF(J6&lt;=0,0,MIN(J8,Input!$B$44*J6))</f>
        <v>2.36259841380429</v>
      </c>
      <c r="K9" s="37" t="n">
        <f aca="false">IF(K6&lt;=0,0,MIN(K8,Input!$B$44*K6))</f>
        <v>2.10650314074981</v>
      </c>
      <c r="L9" s="37" t="n">
        <f aca="false">IF(L6&lt;=0,0,MIN(L8,Input!$B$44*L6))</f>
        <v>0</v>
      </c>
      <c r="M9" s="37" t="n">
        <f aca="false">IF(M6&lt;=0,0,MIN(M8,Input!$B$44*M6))</f>
        <v>0</v>
      </c>
    </row>
    <row r="10" customFormat="false" ht="15" hidden="false" customHeight="false" outlineLevel="0" collapsed="false">
      <c r="A10" s="8" t="s">
        <v>378</v>
      </c>
      <c r="D10" s="37" t="n">
        <f aca="false">IF(D6&lt;=0,D8-D6,D8-D9)</f>
        <v>3.59393984571802</v>
      </c>
      <c r="E10" s="37" t="n">
        <f aca="false">IF(E6&lt;=0,E8-E6,E8-E9)</f>
        <v>6.49475634260863</v>
      </c>
      <c r="F10" s="37" t="n">
        <f aca="false">IF(F6&lt;=0,F8-F6,F8-F9)</f>
        <v>8.06366875949208</v>
      </c>
      <c r="G10" s="37" t="n">
        <f aca="false">IF(G6&lt;=0,G8-G6,G8-G9)</f>
        <v>8.14196131085476</v>
      </c>
      <c r="H10" s="37" t="n">
        <f aca="false">IF(H6&lt;=0,H8-H6,H8-H9)</f>
        <v>6.49513184779922</v>
      </c>
      <c r="I10" s="37" t="n">
        <f aca="false">IF(I6&lt;=0,I8-I6,I8-I9)</f>
        <v>4.46910155455409</v>
      </c>
      <c r="J10" s="37" t="n">
        <f aca="false">IF(J6&lt;=0,J8-J6,J8-J9)</f>
        <v>2.10650314074981</v>
      </c>
      <c r="K10" s="37" t="n">
        <f aca="false">IF(K6&lt;=0,K8-K6,K8-K9)</f>
        <v>0</v>
      </c>
      <c r="L10" s="37" t="n">
        <f aca="false">IF(L6&lt;=0,L8-L6,L8-L9)</f>
        <v>0</v>
      </c>
      <c r="M10" s="37" t="n">
        <f aca="false">IF(M6&lt;=0,M8-M6,M8-M9)</f>
        <v>0</v>
      </c>
    </row>
    <row r="11" customFormat="false" ht="15" hidden="false" customHeight="false" outlineLevel="0" collapsed="false">
      <c r="A11" s="8" t="s">
        <v>379</v>
      </c>
      <c r="D11" s="37" t="n">
        <f aca="false">IF(D6&lt;=0,0,Input!$B$9*(D6-D9))</f>
        <v>0</v>
      </c>
      <c r="E11" s="37" t="n">
        <f aca="false">IF(E6&lt;=0,0,Input!$B$9*(E6-E9))</f>
        <v>0</v>
      </c>
      <c r="F11" s="37" t="n">
        <f aca="false">IF(F6&lt;=0,0,Input!$B$9*(F6-F9))</f>
        <v>0</v>
      </c>
      <c r="G11" s="37" t="n">
        <f aca="false">IF(G6&lt;=0,0,Input!$B$9*(G6-G9))</f>
        <v>0</v>
      </c>
      <c r="H11" s="37" t="n">
        <f aca="false">IF(H6&lt;=0,0,Input!$B$9*(H6-H9))</f>
        <v>0.0864585468104163</v>
      </c>
      <c r="I11" s="37" t="n">
        <f aca="false">IF(I6&lt;=0,0,Input!$B$9*(I6-I9))</f>
        <v>0.106366590395369</v>
      </c>
      <c r="J11" s="37" t="n">
        <f aca="false">IF(J6&lt;=0,0,Input!$B$9*(J6-J9))</f>
        <v>0.124036416724725</v>
      </c>
      <c r="K11" s="37" t="n">
        <f aca="false">IF(K6&lt;=0,0,Input!$B$9*(K6-K9))</f>
        <v>0.27103844556457</v>
      </c>
      <c r="L11" s="37" t="n">
        <f aca="false">IF(L6&lt;=0,0,Input!$B$9*(L6-L9))</f>
        <v>0.812634113539686</v>
      </c>
      <c r="M11" s="37" t="n">
        <f aca="false">IF(M6&lt;=0,0,Input!$B$9*(M6-M9))</f>
        <v>0.9186408</v>
      </c>
    </row>
    <row r="12" customFormat="false" ht="15" hidden="false" customHeight="false" outlineLevel="0" collapsed="false">
      <c r="A12" s="8" t="s">
        <v>380</v>
      </c>
      <c r="D12" s="37" t="n">
        <f aca="false">D11-D7</f>
        <v>0.754727367600784</v>
      </c>
      <c r="E12" s="37" t="n">
        <f aca="false">E11-E7</f>
        <v>0.609171464347028</v>
      </c>
      <c r="F12" s="37" t="n">
        <f aca="false">F11-F7</f>
        <v>0.329471607545525</v>
      </c>
      <c r="G12" s="37" t="n">
        <f aca="false">G11-G7</f>
        <v>0.0164414357861638</v>
      </c>
      <c r="H12" s="37" t="n">
        <f aca="false">H11-H7</f>
        <v>-0.345834187241665</v>
      </c>
      <c r="I12" s="37" t="n">
        <f aca="false">I11-I7</f>
        <v>-0.425466361581475</v>
      </c>
      <c r="J12" s="37" t="n">
        <f aca="false">J11-J7</f>
        <v>-0.4961456668989</v>
      </c>
      <c r="K12" s="37" t="n">
        <f aca="false">K11-K7</f>
        <v>-0.442365659557459</v>
      </c>
      <c r="L12" s="37" t="n">
        <f aca="false">L11-L7</f>
        <v>0</v>
      </c>
      <c r="M12" s="37" t="n">
        <f aca="false">M11-M7</f>
        <v>0</v>
      </c>
    </row>
    <row r="13" customFormat="false" ht="15" hidden="false" customHeight="false" outlineLevel="0" collapsed="false">
      <c r="A13" s="8" t="s">
        <v>381</v>
      </c>
      <c r="D13" s="42" t="n">
        <f aca="false">Tassi!$D$23</f>
        <v>0.859228374010633</v>
      </c>
      <c r="E13" s="42" t="n">
        <f aca="false">Tassi!$E$23</f>
        <v>0.776570729194663</v>
      </c>
      <c r="F13" s="42" t="n">
        <f aca="false">Tassi!$F$23</f>
        <v>0.713456052394843</v>
      </c>
      <c r="G13" s="42" t="n">
        <f aca="false">Tassi!$G$23</f>
        <v>0.655470930802024</v>
      </c>
      <c r="H13" s="42" t="n">
        <f aca="false">Tassi!$H$23</f>
        <v>0.602198467143563</v>
      </c>
      <c r="I13" s="42" t="n">
        <f aca="false">Tassi!$I$23</f>
        <v>0.553255646877174</v>
      </c>
      <c r="J13" s="42" t="n">
        <f aca="false">Tassi!$J$23</f>
        <v>0.508290584420415</v>
      </c>
      <c r="K13" s="42" t="n">
        <f aca="false">Tassi!$K$23</f>
        <v>0.466979993188944</v>
      </c>
      <c r="L13" s="42" t="n">
        <f aca="false">Tassi!$L$23</f>
        <v>0.429026861253791</v>
      </c>
      <c r="M13" s="42" t="n">
        <f aca="false">Tassi!$M$23</f>
        <v>0.394158315906279</v>
      </c>
    </row>
    <row r="14" customFormat="false" ht="15" hidden="false" customHeight="false" outlineLevel="0" collapsed="false">
      <c r="A14" s="4" t="s">
        <v>382</v>
      </c>
      <c r="C14" s="43" t="n">
        <f aca="false">SUMPRODUCT(D12:M12,D13:M13)-Input!$B$9*M10*M13</f>
        <v>0.46497372465472</v>
      </c>
    </row>
    <row r="16" customFormat="false" ht="15" hidden="false" customHeight="false" outlineLevel="0" collapsed="false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customFormat="false" ht="15" hidden="false" customHeight="false" outlineLevel="0" collapsed="false">
      <c r="A17" s="8" t="s">
        <v>374</v>
      </c>
      <c r="D17" s="37" t="n">
        <f aca="false">Segmenti!$H$17*Blocchi!D54+Segmenti!$H$18*Blocchi!D63+Segmenti!$H$19*Blocchi!D72+Segmenti!$H$20*Blocchi!D81+Segmenti!$H$21*Blocchi!D90</f>
        <v>7.54217533860581</v>
      </c>
      <c r="E17" s="37" t="n">
        <f aca="false">Segmenti!$H$17*Blocchi!E54+Segmenti!$H$18*Blocchi!E63+Segmenti!$H$19*Blocchi!E72+Segmenti!$H$20*Blocchi!E81+Segmenti!$H$21*Blocchi!E90</f>
        <v>9.60838097780875</v>
      </c>
      <c r="F17" s="37" t="n">
        <f aca="false">Segmenti!$H$17*Blocchi!F54+Segmenti!$H$18*Blocchi!F63+Segmenti!$H$19*Blocchi!F72+Segmenti!$H$20*Blocchi!F81+Segmenti!$H$21*Blocchi!F90</f>
        <v>12.8166621993662</v>
      </c>
      <c r="G17" s="37" t="n">
        <f aca="false">Segmenti!$H$17*Blocchi!G54+Segmenti!$H$18*Blocchi!G63+Segmenti!$H$19*Blocchi!G72+Segmenti!$H$20*Blocchi!G81+Segmenti!$H$21*Blocchi!G90</f>
        <v>16.9982654329961</v>
      </c>
      <c r="H17" s="37" t="n">
        <f aca="false">Segmenti!$H$17*Blocchi!H54+Segmenti!$H$18*Blocchi!H63+Segmenti!$H$19*Blocchi!H72+Segmenti!$H$20*Blocchi!H81+Segmenti!$H$21*Blocchi!H90</f>
        <v>22.1108022453494</v>
      </c>
      <c r="I17" s="37" t="n">
        <f aca="false">Segmenti!$H$17*Blocchi!I54+Segmenti!$H$18*Blocchi!I63+Segmenti!$H$19*Blocchi!I72+Segmenti!$H$20*Blocchi!I81+Segmenti!$H$21*Blocchi!I90</f>
        <v>26.7362224387923</v>
      </c>
      <c r="J17" s="37" t="n">
        <f aca="false">Segmenti!$H$17*Blocchi!J54+Segmenti!$H$18*Blocchi!J63+Segmenti!$H$19*Blocchi!J72+Segmenti!$H$20*Blocchi!J81+Segmenti!$H$21*Blocchi!J90</f>
        <v>31.6599490226508</v>
      </c>
      <c r="K17" s="37" t="n">
        <f aca="false">Segmenti!$H$17*Blocchi!K54+Segmenti!$H$18*Blocchi!K63+Segmenti!$H$19*Blocchi!K72+Segmenti!$H$20*Blocchi!K81+Segmenti!$H$21*Blocchi!K90</f>
        <v>37.1152468530764</v>
      </c>
      <c r="L17" s="37" t="n">
        <f aca="false">Segmenti!$H$17*Blocchi!L54+Segmenti!$H$18*Blocchi!L63+Segmenti!$H$19*Blocchi!L72+Segmenti!$H$20*Blocchi!L81+Segmenti!$H$21*Blocchi!L90</f>
        <v>43.2053497882907</v>
      </c>
      <c r="M17" s="37" t="n">
        <f aca="false">Segmenti!$H$17*Blocchi!M54+Segmenti!$H$18*Blocchi!M63+Segmenti!$H$19*Blocchi!M72+Segmenti!$H$20*Blocchi!M81+Segmenti!$H$21*Blocchi!M90</f>
        <v>50.0366</v>
      </c>
    </row>
    <row r="18" customFormat="false" ht="15" hidden="false" customHeight="false" outlineLevel="0" collapsed="false">
      <c r="A18" s="8" t="s">
        <v>375</v>
      </c>
      <c r="D18" s="37" t="n">
        <f aca="false">Input!$B$9*D17</f>
        <v>1.58385682110722</v>
      </c>
      <c r="E18" s="37" t="n">
        <f aca="false">Input!$B$9*E17</f>
        <v>2.01776000533984</v>
      </c>
      <c r="F18" s="37" t="n">
        <f aca="false">Input!$B$9*F17</f>
        <v>2.69149906186691</v>
      </c>
      <c r="G18" s="37" t="n">
        <f aca="false">Input!$B$9*G17</f>
        <v>3.56963574092919</v>
      </c>
      <c r="H18" s="37" t="n">
        <f aca="false">Input!$B$9*H17</f>
        <v>4.64326847152338</v>
      </c>
      <c r="I18" s="37" t="n">
        <f aca="false">Input!$B$9*I17</f>
        <v>5.61460671214638</v>
      </c>
      <c r="J18" s="37" t="n">
        <f aca="false">Input!$B$9*J17</f>
        <v>6.64858929475667</v>
      </c>
      <c r="K18" s="37" t="n">
        <f aca="false">Input!$B$9*K17</f>
        <v>7.79420183914605</v>
      </c>
      <c r="L18" s="37" t="n">
        <f aca="false">Input!$B$9*L17</f>
        <v>9.07312345554104</v>
      </c>
      <c r="M18" s="37" t="n">
        <f aca="false">Input!$B$9*M17</f>
        <v>10.507686</v>
      </c>
    </row>
    <row r="19" customFormat="false" ht="15" hidden="false" customHeight="false" outlineLevel="0" collapsed="false">
      <c r="A19" s="8" t="s">
        <v>376</v>
      </c>
      <c r="D19" s="37" t="n">
        <v>0</v>
      </c>
      <c r="E19" s="37" t="n">
        <f aca="false">D21</f>
        <v>0</v>
      </c>
      <c r="F19" s="37" t="n">
        <f aca="false">E21</f>
        <v>0</v>
      </c>
      <c r="G19" s="37" t="n">
        <f aca="false">F21</f>
        <v>0</v>
      </c>
      <c r="H19" s="37" t="n">
        <f aca="false">G21</f>
        <v>0</v>
      </c>
      <c r="I19" s="37" t="n">
        <f aca="false">H21</f>
        <v>0</v>
      </c>
      <c r="J19" s="37" t="n">
        <f aca="false">I21</f>
        <v>0</v>
      </c>
      <c r="K19" s="37" t="n">
        <f aca="false">J21</f>
        <v>0</v>
      </c>
      <c r="L19" s="37" t="n">
        <f aca="false">K21</f>
        <v>0</v>
      </c>
      <c r="M19" s="37" t="n">
        <f aca="false">L21</f>
        <v>0</v>
      </c>
    </row>
    <row r="20" customFormat="false" ht="15" hidden="false" customHeight="false" outlineLevel="0" collapsed="false">
      <c r="A20" s="8" t="s">
        <v>377</v>
      </c>
      <c r="D20" s="37" t="n">
        <f aca="false">IF(D17&lt;=0,0,MIN(D19,Input!$B$44*D17))</f>
        <v>0</v>
      </c>
      <c r="E20" s="37" t="n">
        <f aca="false">IF(E17&lt;=0,0,MIN(E19,Input!$B$44*E17))</f>
        <v>0</v>
      </c>
      <c r="F20" s="37" t="n">
        <f aca="false">IF(F17&lt;=0,0,MIN(F19,Input!$B$44*F17))</f>
        <v>0</v>
      </c>
      <c r="G20" s="37" t="n">
        <f aca="false">IF(G17&lt;=0,0,MIN(G19,Input!$B$44*G17))</f>
        <v>0</v>
      </c>
      <c r="H20" s="37" t="n">
        <f aca="false">IF(H17&lt;=0,0,MIN(H19,Input!$B$44*H17))</f>
        <v>0</v>
      </c>
      <c r="I20" s="37" t="n">
        <f aca="false">IF(I17&lt;=0,0,MIN(I19,Input!$B$44*I17))</f>
        <v>0</v>
      </c>
      <c r="J20" s="37" t="n">
        <f aca="false">IF(J17&lt;=0,0,MIN(J19,Input!$B$44*J17))</f>
        <v>0</v>
      </c>
      <c r="K20" s="37" t="n">
        <f aca="false">IF(K17&lt;=0,0,MIN(K19,Input!$B$44*K17))</f>
        <v>0</v>
      </c>
      <c r="L20" s="37" t="n">
        <f aca="false">IF(L17&lt;=0,0,MIN(L19,Input!$B$44*L17))</f>
        <v>0</v>
      </c>
      <c r="M20" s="37" t="n">
        <f aca="false">IF(M17&lt;=0,0,MIN(M19,Input!$B$44*M17))</f>
        <v>0</v>
      </c>
    </row>
    <row r="21" customFormat="false" ht="15" hidden="false" customHeight="false" outlineLevel="0" collapsed="false">
      <c r="A21" s="8" t="s">
        <v>378</v>
      </c>
      <c r="D21" s="37" t="n">
        <f aca="false">IF(D17&lt;=0,D19-D17,D19-D20)</f>
        <v>0</v>
      </c>
      <c r="E21" s="37" t="n">
        <f aca="false">IF(E17&lt;=0,E19-E17,E19-E20)</f>
        <v>0</v>
      </c>
      <c r="F21" s="37" t="n">
        <f aca="false">IF(F17&lt;=0,F19-F17,F19-F20)</f>
        <v>0</v>
      </c>
      <c r="G21" s="37" t="n">
        <f aca="false">IF(G17&lt;=0,G19-G17,G19-G20)</f>
        <v>0</v>
      </c>
      <c r="H21" s="37" t="n">
        <f aca="false">IF(H17&lt;=0,H19-H17,H19-H20)</f>
        <v>0</v>
      </c>
      <c r="I21" s="37" t="n">
        <f aca="false">IF(I17&lt;=0,I19-I17,I19-I20)</f>
        <v>0</v>
      </c>
      <c r="J21" s="37" t="n">
        <f aca="false">IF(J17&lt;=0,J19-J17,J19-J20)</f>
        <v>0</v>
      </c>
      <c r="K21" s="37" t="n">
        <f aca="false">IF(K17&lt;=0,K19-K17,K19-K20)</f>
        <v>0</v>
      </c>
      <c r="L21" s="37" t="n">
        <f aca="false">IF(L17&lt;=0,L19-L17,L19-L20)</f>
        <v>0</v>
      </c>
      <c r="M21" s="37" t="n">
        <f aca="false">IF(M17&lt;=0,M19-M17,M19-M20)</f>
        <v>0</v>
      </c>
    </row>
    <row r="22" customFormat="false" ht="15" hidden="false" customHeight="false" outlineLevel="0" collapsed="false">
      <c r="A22" s="8" t="s">
        <v>379</v>
      </c>
      <c r="D22" s="37" t="n">
        <f aca="false">IF(D17&lt;=0,0,Input!$B$9*(D17-D20))</f>
        <v>1.58385682110722</v>
      </c>
      <c r="E22" s="37" t="n">
        <f aca="false">IF(E17&lt;=0,0,Input!$B$9*(E17-E20))</f>
        <v>2.01776000533984</v>
      </c>
      <c r="F22" s="37" t="n">
        <f aca="false">IF(F17&lt;=0,0,Input!$B$9*(F17-F20))</f>
        <v>2.69149906186691</v>
      </c>
      <c r="G22" s="37" t="n">
        <f aca="false">IF(G17&lt;=0,0,Input!$B$9*(G17-G20))</f>
        <v>3.56963574092919</v>
      </c>
      <c r="H22" s="37" t="n">
        <f aca="false">IF(H17&lt;=0,0,Input!$B$9*(H17-H20))</f>
        <v>4.64326847152338</v>
      </c>
      <c r="I22" s="37" t="n">
        <f aca="false">IF(I17&lt;=0,0,Input!$B$9*(I17-I20))</f>
        <v>5.61460671214638</v>
      </c>
      <c r="J22" s="37" t="n">
        <f aca="false">IF(J17&lt;=0,0,Input!$B$9*(J17-J20))</f>
        <v>6.64858929475667</v>
      </c>
      <c r="K22" s="37" t="n">
        <f aca="false">IF(K17&lt;=0,0,Input!$B$9*(K17-K20))</f>
        <v>7.79420183914605</v>
      </c>
      <c r="L22" s="37" t="n">
        <f aca="false">IF(L17&lt;=0,0,Input!$B$9*(L17-L20))</f>
        <v>9.07312345554104</v>
      </c>
      <c r="M22" s="37" t="n">
        <f aca="false">IF(M17&lt;=0,0,Input!$B$9*(M17-M20))</f>
        <v>10.507686</v>
      </c>
    </row>
    <row r="23" customFormat="false" ht="15" hidden="false" customHeight="false" outlineLevel="0" collapsed="false">
      <c r="A23" s="8" t="s">
        <v>380</v>
      </c>
      <c r="D23" s="37" t="n">
        <f aca="false">D22-D18</f>
        <v>0</v>
      </c>
      <c r="E23" s="37" t="n">
        <f aca="false">E22-E18</f>
        <v>0</v>
      </c>
      <c r="F23" s="37" t="n">
        <f aca="false">F22-F18</f>
        <v>0</v>
      </c>
      <c r="G23" s="37" t="n">
        <f aca="false">G22-G18</f>
        <v>0</v>
      </c>
      <c r="H23" s="37" t="n">
        <f aca="false">H22-H18</f>
        <v>0</v>
      </c>
      <c r="I23" s="37" t="n">
        <f aca="false">I22-I18</f>
        <v>0</v>
      </c>
      <c r="J23" s="37" t="n">
        <f aca="false">J22-J18</f>
        <v>0</v>
      </c>
      <c r="K23" s="37" t="n">
        <f aca="false">K22-K18</f>
        <v>0</v>
      </c>
      <c r="L23" s="37" t="n">
        <f aca="false">L22-L18</f>
        <v>0</v>
      </c>
      <c r="M23" s="37" t="n">
        <f aca="false">M22-M18</f>
        <v>0</v>
      </c>
    </row>
    <row r="24" customFormat="false" ht="15" hidden="false" customHeight="false" outlineLevel="0" collapsed="false">
      <c r="A24" s="8" t="s">
        <v>381</v>
      </c>
      <c r="D24" s="42" t="n">
        <f aca="false">Tassi!$D$29</f>
        <v>0.871606075283242</v>
      </c>
      <c r="E24" s="42" t="n">
        <f aca="false">Tassi!$E$29</f>
        <v>0.795305064142915</v>
      </c>
      <c r="F24" s="42" t="n">
        <f aca="false">Tassi!$F$29</f>
        <v>0.740757669413046</v>
      </c>
      <c r="G24" s="42" t="n">
        <f aca="false">Tassi!$G$29</f>
        <v>0.689951503559951</v>
      </c>
      <c r="H24" s="42" t="n">
        <f aca="false">Tassi!$H$29</f>
        <v>0.642629967829872</v>
      </c>
      <c r="I24" s="42" t="n">
        <f aca="false">Tassi!$I$29</f>
        <v>0.598554062745279</v>
      </c>
      <c r="J24" s="42" t="n">
        <f aca="false">Tassi!$J$29</f>
        <v>0.557501181027596</v>
      </c>
      <c r="K24" s="42" t="n">
        <f aca="false">Tassi!$K$29</f>
        <v>0.519263983309444</v>
      </c>
      <c r="L24" s="42" t="n">
        <f aca="false">Tassi!$L$29</f>
        <v>0.483649350958134</v>
      </c>
      <c r="M24" s="42" t="n">
        <f aca="false">Tassi!$M$29</f>
        <v>0.450477410721604</v>
      </c>
    </row>
    <row r="25" customFormat="false" ht="15" hidden="false" customHeight="false" outlineLevel="0" collapsed="false">
      <c r="A25" s="4" t="s">
        <v>383</v>
      </c>
      <c r="C25" s="43" t="n">
        <f aca="false">SUMPRODUCT(D23:M23,D24:M24)-Input!$B$9*M21*M24</f>
        <v>0</v>
      </c>
    </row>
    <row r="27" customFormat="false" ht="15" hidden="false" customHeight="false" outlineLevel="0" collapsed="false">
      <c r="A27" s="6" t="s">
        <v>43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customFormat="false" ht="15" hidden="false" customHeight="false" outlineLevel="0" collapsed="false">
      <c r="A28" s="8" t="s">
        <v>374</v>
      </c>
      <c r="D28" s="37" t="n">
        <f aca="false">Segmenti!$H$28*Blocchi!D99+Segmenti!$H$29*Blocchi!D109+Segmenti!$H$30*Blocchi!D119+Segmenti!$H$31*Blocchi!D129+Segmenti!$H$32*Blocchi!D139</f>
        <v>-1.0875</v>
      </c>
      <c r="E28" s="37" t="n">
        <f aca="false">Segmenti!$H$28*Blocchi!E99+Segmenti!$H$29*Blocchi!E109+Segmenti!$H$30*Blocchi!E119+Segmenti!$H$31*Blocchi!E129+Segmenti!$H$32*Blocchi!E139</f>
        <v>0.866621862497437</v>
      </c>
      <c r="F28" s="37" t="n">
        <f aca="false">Segmenti!$H$28*Blocchi!F99+Segmenti!$H$29*Blocchi!F109+Segmenti!$H$30*Blocchi!F119+Segmenti!$H$31*Blocchi!F129+Segmenti!$H$32*Blocchi!F139</f>
        <v>6.83998958333333</v>
      </c>
      <c r="G28" s="37" t="n">
        <f aca="false">Segmenti!$H$28*Blocchi!G99+Segmenti!$H$29*Blocchi!G109+Segmenti!$H$30*Blocchi!G119+Segmenti!$H$31*Blocchi!G129+Segmenti!$H$32*Blocchi!G139</f>
        <v>15.8760657874212</v>
      </c>
      <c r="H28" s="37" t="n">
        <f aca="false">Segmenti!$H$28*Blocchi!H99+Segmenti!$H$29*Blocchi!H109+Segmenti!$H$30*Blocchi!H119+Segmenti!$H$31*Blocchi!H129+Segmenti!$H$32*Blocchi!H139</f>
        <v>27.9912579169282</v>
      </c>
      <c r="I28" s="37" t="n">
        <f aca="false">Segmenti!$H$28*Blocchi!I99+Segmenti!$H$29*Blocchi!I109+Segmenti!$H$30*Blocchi!I119+Segmenti!$H$31*Blocchi!I129+Segmenti!$H$32*Blocchi!I139</f>
        <v>40.5586850717467</v>
      </c>
      <c r="J28" s="37" t="n">
        <f aca="false">Segmenti!$H$28*Blocchi!J99+Segmenti!$H$29*Blocchi!J109+Segmenti!$H$30*Blocchi!J119+Segmenti!$H$31*Blocchi!J129+Segmenti!$H$32*Blocchi!J139</f>
        <v>49.0868515779523</v>
      </c>
      <c r="K28" s="37" t="n">
        <f aca="false">Segmenti!$H$28*Blocchi!K99+Segmenti!$H$29*Blocchi!K109+Segmenti!$H$30*Blocchi!K119+Segmenti!$H$31*Blocchi!K129+Segmenti!$H$32*Blocchi!K139</f>
        <v>57.6291486152259</v>
      </c>
      <c r="L28" s="37" t="n">
        <f aca="false">Segmenti!$H$28*Blocchi!L99+Segmenti!$H$29*Blocchi!L109+Segmenti!$H$30*Blocchi!L119+Segmenti!$H$31*Blocchi!L129+Segmenti!$H$32*Blocchi!L139</f>
        <v>66.1867074701952</v>
      </c>
      <c r="M28" s="37" t="n">
        <f aca="false">Segmenti!$H$28*Blocchi!M99+Segmenti!$H$29*Blocchi!M109+Segmenti!$H$30*Blocchi!M119+Segmenti!$H$31*Blocchi!M129+Segmenti!$H$32*Blocchi!M139</f>
        <v>74.76075</v>
      </c>
    </row>
    <row r="29" customFormat="false" ht="15" hidden="false" customHeight="false" outlineLevel="0" collapsed="false">
      <c r="A29" s="8" t="s">
        <v>375</v>
      </c>
      <c r="D29" s="37" t="n">
        <f aca="false">Input!$B$9*D28</f>
        <v>-0.228375</v>
      </c>
      <c r="E29" s="37" t="n">
        <f aca="false">Input!$B$9*E28</f>
        <v>0.181990591124462</v>
      </c>
      <c r="F29" s="37" t="n">
        <f aca="false">Input!$B$9*F28</f>
        <v>1.4363978125</v>
      </c>
      <c r="G29" s="37" t="n">
        <f aca="false">Input!$B$9*G28</f>
        <v>3.33397381535844</v>
      </c>
      <c r="H29" s="37" t="n">
        <f aca="false">Input!$B$9*H28</f>
        <v>5.87816416255493</v>
      </c>
      <c r="I29" s="37" t="n">
        <f aca="false">Input!$B$9*I28</f>
        <v>8.51732386506681</v>
      </c>
      <c r="J29" s="37" t="n">
        <f aca="false">Input!$B$9*J28</f>
        <v>10.30823883137</v>
      </c>
      <c r="K29" s="37" t="n">
        <f aca="false">Input!$B$9*K28</f>
        <v>12.1021212091974</v>
      </c>
      <c r="L29" s="37" t="n">
        <f aca="false">Input!$B$9*L28</f>
        <v>13.899208568741</v>
      </c>
      <c r="M29" s="37" t="n">
        <f aca="false">Input!$B$9*M28</f>
        <v>15.6997575</v>
      </c>
    </row>
    <row r="30" customFormat="false" ht="15" hidden="false" customHeight="false" outlineLevel="0" collapsed="false">
      <c r="A30" s="8" t="s">
        <v>376</v>
      </c>
      <c r="D30" s="37" t="n">
        <v>0</v>
      </c>
      <c r="E30" s="37" t="n">
        <f aca="false">D32</f>
        <v>1.0875</v>
      </c>
      <c r="F30" s="37" t="n">
        <f aca="false">E32</f>
        <v>0.39420251000205</v>
      </c>
      <c r="G30" s="37" t="n">
        <f aca="false">F32</f>
        <v>0</v>
      </c>
      <c r="H30" s="37" t="n">
        <f aca="false">G32</f>
        <v>0</v>
      </c>
      <c r="I30" s="37" t="n">
        <f aca="false">H32</f>
        <v>0</v>
      </c>
      <c r="J30" s="37" t="n">
        <f aca="false">I32</f>
        <v>0</v>
      </c>
      <c r="K30" s="37" t="n">
        <f aca="false">J32</f>
        <v>0</v>
      </c>
      <c r="L30" s="37" t="n">
        <f aca="false">K32</f>
        <v>0</v>
      </c>
      <c r="M30" s="37" t="n">
        <f aca="false">L32</f>
        <v>0</v>
      </c>
    </row>
    <row r="31" customFormat="false" ht="15" hidden="false" customHeight="false" outlineLevel="0" collapsed="false">
      <c r="A31" s="8" t="s">
        <v>377</v>
      </c>
      <c r="D31" s="37" t="n">
        <f aca="false">IF(D28&lt;=0,0,MIN(D30,Input!$B$44*D28))</f>
        <v>0</v>
      </c>
      <c r="E31" s="37" t="n">
        <f aca="false">IF(E28&lt;=0,0,MIN(E30,Input!$B$44*E28))</f>
        <v>0.69329748999795</v>
      </c>
      <c r="F31" s="37" t="n">
        <f aca="false">IF(F28&lt;=0,0,MIN(F30,Input!$B$44*F28))</f>
        <v>0.39420251000205</v>
      </c>
      <c r="G31" s="37" t="n">
        <f aca="false">IF(G28&lt;=0,0,MIN(G30,Input!$B$44*G28))</f>
        <v>0</v>
      </c>
      <c r="H31" s="37" t="n">
        <f aca="false">IF(H28&lt;=0,0,MIN(H30,Input!$B$44*H28))</f>
        <v>0</v>
      </c>
      <c r="I31" s="37" t="n">
        <f aca="false">IF(I28&lt;=0,0,MIN(I30,Input!$B$44*I28))</f>
        <v>0</v>
      </c>
      <c r="J31" s="37" t="n">
        <f aca="false">IF(J28&lt;=0,0,MIN(J30,Input!$B$44*J28))</f>
        <v>0</v>
      </c>
      <c r="K31" s="37" t="n">
        <f aca="false">IF(K28&lt;=0,0,MIN(K30,Input!$B$44*K28))</f>
        <v>0</v>
      </c>
      <c r="L31" s="37" t="n">
        <f aca="false">IF(L28&lt;=0,0,MIN(L30,Input!$B$44*L28))</f>
        <v>0</v>
      </c>
      <c r="M31" s="37" t="n">
        <f aca="false">IF(M28&lt;=0,0,MIN(M30,Input!$B$44*M28))</f>
        <v>0</v>
      </c>
    </row>
    <row r="32" customFormat="false" ht="15" hidden="false" customHeight="false" outlineLevel="0" collapsed="false">
      <c r="A32" s="8" t="s">
        <v>378</v>
      </c>
      <c r="D32" s="37" t="n">
        <f aca="false">IF(D28&lt;=0,D30-D28,D30-D31)</f>
        <v>1.0875</v>
      </c>
      <c r="E32" s="37" t="n">
        <f aca="false">IF(E28&lt;=0,E30-E28,E30-E31)</f>
        <v>0.39420251000205</v>
      </c>
      <c r="F32" s="37" t="n">
        <f aca="false">IF(F28&lt;=0,F30-F28,F30-F31)</f>
        <v>0</v>
      </c>
      <c r="G32" s="37" t="n">
        <f aca="false">IF(G28&lt;=0,G30-G28,G30-G31)</f>
        <v>0</v>
      </c>
      <c r="H32" s="37" t="n">
        <f aca="false">IF(H28&lt;=0,H30-H28,H30-H31)</f>
        <v>0</v>
      </c>
      <c r="I32" s="37" t="n">
        <f aca="false">IF(I28&lt;=0,I30-I28,I30-I31)</f>
        <v>0</v>
      </c>
      <c r="J32" s="37" t="n">
        <f aca="false">IF(J28&lt;=0,J30-J28,J30-J31)</f>
        <v>0</v>
      </c>
      <c r="K32" s="37" t="n">
        <f aca="false">IF(K28&lt;=0,K30-K28,K30-K31)</f>
        <v>0</v>
      </c>
      <c r="L32" s="37" t="n">
        <f aca="false">IF(L28&lt;=0,L30-L28,L30-L31)</f>
        <v>0</v>
      </c>
      <c r="M32" s="37" t="n">
        <f aca="false">IF(M28&lt;=0,M30-M28,M30-M31)</f>
        <v>0</v>
      </c>
    </row>
    <row r="33" customFormat="false" ht="15" hidden="false" customHeight="false" outlineLevel="0" collapsed="false">
      <c r="A33" s="8" t="s">
        <v>379</v>
      </c>
      <c r="D33" s="37" t="n">
        <f aca="false">IF(D28&lt;=0,0,Input!$B$9*(D28-D31))</f>
        <v>0</v>
      </c>
      <c r="E33" s="37" t="n">
        <f aca="false">IF(E28&lt;=0,0,Input!$B$9*(E28-E31))</f>
        <v>0.0363981182248924</v>
      </c>
      <c r="F33" s="37" t="n">
        <f aca="false">IF(F28&lt;=0,0,Input!$B$9*(F28-F31))</f>
        <v>1.35361528539957</v>
      </c>
      <c r="G33" s="37" t="n">
        <f aca="false">IF(G28&lt;=0,0,Input!$B$9*(G28-G31))</f>
        <v>3.33397381535844</v>
      </c>
      <c r="H33" s="37" t="n">
        <f aca="false">IF(H28&lt;=0,0,Input!$B$9*(H28-H31))</f>
        <v>5.87816416255493</v>
      </c>
      <c r="I33" s="37" t="n">
        <f aca="false">IF(I28&lt;=0,0,Input!$B$9*(I28-I31))</f>
        <v>8.51732386506681</v>
      </c>
      <c r="J33" s="37" t="n">
        <f aca="false">IF(J28&lt;=0,0,Input!$B$9*(J28-J31))</f>
        <v>10.30823883137</v>
      </c>
      <c r="K33" s="37" t="n">
        <f aca="false">IF(K28&lt;=0,0,Input!$B$9*(K28-K31))</f>
        <v>12.1021212091974</v>
      </c>
      <c r="L33" s="37" t="n">
        <f aca="false">IF(L28&lt;=0,0,Input!$B$9*(L28-L31))</f>
        <v>13.899208568741</v>
      </c>
      <c r="M33" s="37" t="n">
        <f aca="false">IF(M28&lt;=0,0,Input!$B$9*(M28-M31))</f>
        <v>15.6997575</v>
      </c>
    </row>
    <row r="34" customFormat="false" ht="15" hidden="false" customHeight="false" outlineLevel="0" collapsed="false">
      <c r="A34" s="8" t="s">
        <v>380</v>
      </c>
      <c r="D34" s="37" t="n">
        <f aca="false">D33-D29</f>
        <v>0.228375</v>
      </c>
      <c r="E34" s="37" t="n">
        <f aca="false">E33-E29</f>
        <v>-0.145592472899569</v>
      </c>
      <c r="F34" s="37" t="n">
        <f aca="false">F33-F29</f>
        <v>-0.0827825271004306</v>
      </c>
      <c r="G34" s="37" t="n">
        <f aca="false">G33-G29</f>
        <v>0</v>
      </c>
      <c r="H34" s="37" t="n">
        <f aca="false">H33-H29</f>
        <v>0</v>
      </c>
      <c r="I34" s="37" t="n">
        <f aca="false">I33-I29</f>
        <v>0</v>
      </c>
      <c r="J34" s="37" t="n">
        <f aca="false">J33-J29</f>
        <v>0</v>
      </c>
      <c r="K34" s="37" t="n">
        <f aca="false">K33-K29</f>
        <v>0</v>
      </c>
      <c r="L34" s="37" t="n">
        <f aca="false">L33-L29</f>
        <v>0</v>
      </c>
      <c r="M34" s="37" t="n">
        <f aca="false">M33-M29</f>
        <v>0</v>
      </c>
    </row>
    <row r="35" customFormat="false" ht="15" hidden="false" customHeight="false" outlineLevel="0" collapsed="false">
      <c r="A35" s="8" t="s">
        <v>381</v>
      </c>
      <c r="D35" s="42" t="n">
        <f aca="false">Tassi!$D$41</f>
        <v>0.842011316650775</v>
      </c>
      <c r="E35" s="42" t="n">
        <f aca="false">Tassi!$E$41</f>
        <v>0.750809710327574</v>
      </c>
      <c r="F35" s="42" t="n">
        <f aca="false">Tassi!$F$41</f>
        <v>0.669486513987053</v>
      </c>
      <c r="G35" s="42" t="n">
        <f aca="false">Tassi!$G$41</f>
        <v>0.60542908920384</v>
      </c>
      <c r="H35" s="42" t="n">
        <f aca="false">Tassi!$H$41</f>
        <v>0.547500770211602</v>
      </c>
      <c r="I35" s="42" t="n">
        <f aca="false">Tassi!$I$41</f>
        <v>0.49511511542415</v>
      </c>
      <c r="J35" s="42" t="n">
        <f aca="false">Tassi!$J$41</f>
        <v>0.447741794822912</v>
      </c>
      <c r="K35" s="42" t="n">
        <f aca="false">Tassi!$K$41</f>
        <v>0.404901221122089</v>
      </c>
      <c r="L35" s="42" t="n">
        <f aca="false">Tassi!$L$41</f>
        <v>0.366159694631593</v>
      </c>
      <c r="M35" s="42" t="n">
        <f aca="false">Tassi!$M$41</f>
        <v>0.331125012666423</v>
      </c>
    </row>
    <row r="36" customFormat="false" ht="15" hidden="false" customHeight="false" outlineLevel="0" collapsed="false">
      <c r="A36" s="4" t="s">
        <v>384</v>
      </c>
      <c r="C36" s="43" t="n">
        <f aca="false">SUMPRODUCT(D34:M34,D35:M35)-Input!$B$9*M32*M35</f>
        <v>0.0275603065490138</v>
      </c>
    </row>
    <row r="38" customFormat="false" ht="15" hidden="false" customHeight="false" outlineLevel="0" collapsed="false">
      <c r="A38" s="4" t="s">
        <v>385</v>
      </c>
      <c r="C38" s="43" t="n">
        <f aca="false">C14+C25+C36</f>
        <v>0.492534031203733</v>
      </c>
    </row>
    <row r="40" customFormat="false" ht="15" hidden="false" customHeight="false" outlineLevel="0" collapsed="false">
      <c r="A40" s="3" t="s">
        <v>386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"/>
    <col collapsed="false" customWidth="true" hidden="false" outlineLevel="0" max="14" min="3" style="0" width="10"/>
  </cols>
  <sheetData>
    <row r="1" customFormat="false" ht="24" hidden="false" customHeight="true" outlineLevel="0" collapsed="false">
      <c r="A1" s="1" t="s">
        <v>387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388</v>
      </c>
    </row>
    <row r="4" customFormat="false" ht="15" hidden="false" customHeight="false" outlineLevel="0" collapsed="false">
      <c r="A4" s="4" t="s">
        <v>271</v>
      </c>
      <c r="C4" s="4" t="s">
        <v>272</v>
      </c>
      <c r="D4" s="36" t="n">
        <v>2027</v>
      </c>
      <c r="E4" s="36" t="n">
        <v>2028</v>
      </c>
      <c r="F4" s="36" t="n">
        <v>2029</v>
      </c>
      <c r="G4" s="36" t="n">
        <v>2030</v>
      </c>
      <c r="H4" s="36" t="n">
        <v>2031</v>
      </c>
      <c r="I4" s="36" t="n">
        <v>2032</v>
      </c>
      <c r="J4" s="36" t="n">
        <v>2033</v>
      </c>
      <c r="K4" s="36" t="n">
        <v>2034</v>
      </c>
      <c r="L4" s="36" t="n">
        <v>2035</v>
      </c>
      <c r="M4" s="36" t="n">
        <v>2036</v>
      </c>
    </row>
    <row r="5" customFormat="false" ht="15" hidden="false" customHeight="false" outlineLevel="0" collapsed="false">
      <c r="A5" s="8" t="s">
        <v>389</v>
      </c>
      <c r="C5" s="37" t="n">
        <f aca="false">Input!$B$25-Input!$B$26</f>
        <v>-28.4246436837854</v>
      </c>
      <c r="D5" s="37" t="n">
        <f aca="false">Segmenti!$H$28*Blocchi!D101+Segmenti!$H$29*Blocchi!D111+Segmenti!$H$30*Blocchi!D121+Segmenti!$H$31*Blocchi!D131+Segmenti!$H$32*Blocchi!D141</f>
        <v>-19.8015982224273</v>
      </c>
      <c r="E5" s="37" t="n">
        <f aca="false">Segmenti!$H$28*Blocchi!E101+Segmenti!$H$29*Blocchi!E111+Segmenti!$H$30*Blocchi!E121+Segmenti!$H$31*Blocchi!E131+Segmenti!$H$32*Blocchi!E141</f>
        <v>-35.7049156585445</v>
      </c>
      <c r="F5" s="37" t="n">
        <f aca="false">Segmenti!$H$28*Blocchi!F101+Segmenti!$H$29*Blocchi!F111+Segmenti!$H$30*Blocchi!F121+Segmenti!$H$31*Blocchi!F131+Segmenti!$H$32*Blocchi!F141</f>
        <v>-31.4013177371809</v>
      </c>
      <c r="G5" s="37" t="n">
        <f aca="false">Segmenti!$H$28*Blocchi!G101+Segmenti!$H$29*Blocchi!G111+Segmenti!$H$30*Blocchi!G121+Segmenti!$H$31*Blocchi!G131+Segmenti!$H$32*Blocchi!G141</f>
        <v>-24.7114339335964</v>
      </c>
      <c r="H5" s="37" t="n">
        <f aca="false">Segmenti!$H$28*Blocchi!H101+Segmenti!$H$29*Blocchi!H111+Segmenti!$H$30*Blocchi!H121+Segmenti!$H$31*Blocchi!H131+Segmenti!$H$32*Blocchi!H141</f>
        <v>-15.6249646605889</v>
      </c>
      <c r="I5" s="37" t="n">
        <f aca="false">Segmenti!$H$28*Blocchi!I101+Segmenti!$H$29*Blocchi!I111+Segmenti!$H$30*Blocchi!I121+Segmenti!$H$31*Blocchi!I131+Segmenti!$H$32*Blocchi!I141</f>
        <v>-6.220021263765</v>
      </c>
      <c r="J5" s="37" t="n">
        <f aca="false">Segmenti!$H$28*Blocchi!J101+Segmenti!$H$29*Blocchi!J111+Segmenti!$H$30*Blocchi!J121+Segmenti!$H$31*Blocchi!J131+Segmenti!$H$32*Blocchi!J141</f>
        <v>-0.0479909665833473</v>
      </c>
      <c r="K5" s="37" t="n">
        <f aca="false">Segmenti!$H$28*Blocchi!K101+Segmenti!$H$29*Blocchi!K111+Segmenti!$H$30*Blocchi!K121+Segmenti!$H$31*Blocchi!K131+Segmenti!$H$32*Blocchi!K141</f>
        <v>6.08995098503347</v>
      </c>
      <c r="L5" s="37" t="n">
        <f aca="false">Segmenti!$H$28*Blocchi!L101+Segmenti!$H$29*Blocchi!L111+Segmenti!$H$30*Blocchi!L121+Segmenti!$H$31*Blocchi!L131+Segmenti!$H$32*Blocchi!L141</f>
        <v>12.1910754870402</v>
      </c>
      <c r="M5" s="37" t="n">
        <f aca="false">Segmenti!$H$28*Blocchi!M101+Segmenti!$H$29*Blocchi!M111+Segmenti!$H$30*Blocchi!M121+Segmenti!$H$31*Blocchi!M131+Segmenti!$H$32*Blocchi!M141</f>
        <v>42.5647425</v>
      </c>
    </row>
    <row r="6" customFormat="false" ht="15" hidden="false" customHeight="false" outlineLevel="0" collapsed="false">
      <c r="A6" s="8" t="s">
        <v>390</v>
      </c>
      <c r="C6" s="37" t="n">
        <f aca="false">Input!$B$21-Input!$B$22+Input!$B$23-Input!$B$24</f>
        <v>-2.81808092147774</v>
      </c>
      <c r="D6" s="37" t="n">
        <f aca="false">Segmenti!$H$6*Blocchi!D11+Segmenti!$H$7*Blocchi!D20+Segmenti!$H$8*Blocchi!D29+Segmenti!$H$9*Blocchi!D38+Segmenti!$H$10*Blocchi!D47-Input!$B$27*(1-Input!$B$9)+Segmenti!$H$17*Blocchi!D56+Segmenti!$H$18*Blocchi!D65+Segmenti!$H$19*Blocchi!D74+Segmenti!$H$20*Blocchi!D83+Segmenti!$H$21*Blocchi!D92</f>
        <v>-0.602415097923094</v>
      </c>
      <c r="E6" s="37" t="n">
        <f aca="false">Segmenti!$H$6*Blocchi!E11+Segmenti!$H$7*Blocchi!E20+Segmenti!$H$8*Blocchi!E29+Segmenti!$H$9*Blocchi!E38+Segmenti!$H$10*Blocchi!E47-Input!$B$28*(1-Input!$B$9)+Segmenti!$H$17*Blocchi!E56+Segmenti!$H$18*Blocchi!E65+Segmenti!$H$19*Blocchi!E74+Segmenti!$H$20*Blocchi!E83+Segmenti!$H$21*Blocchi!E92</f>
        <v>0.298194840147172</v>
      </c>
      <c r="F6" s="37" t="n">
        <f aca="false">Segmenti!$H$6*Blocchi!F11+Segmenti!$H$7*Blocchi!F20+Segmenti!$H$8*Blocchi!F29+Segmenti!$H$9*Blocchi!F38+Segmenti!$H$10*Blocchi!F47-Input!$B$29*(1-Input!$B$9)+Segmenti!$H$17*Blocchi!F56+Segmenti!$H$18*Blocchi!F65+Segmenti!$H$19*Blocchi!F74+Segmenti!$H$20*Blocchi!F83+Segmenti!$H$21*Blocchi!F92</f>
        <v>3.45462585741418</v>
      </c>
      <c r="G6" s="37" t="n">
        <f aca="false">Segmenti!$H$6*Blocchi!G11+Segmenti!$H$7*Blocchi!G20+Segmenti!$H$8*Blocchi!G29+Segmenti!$H$9*Blocchi!G38+Segmenti!$H$10*Blocchi!G47-Input!$B$30*(1-Input!$B$9)+Segmenti!$H$17*Blocchi!G56+Segmenti!$H$18*Blocchi!G65+Segmenti!$H$19*Blocchi!G74+Segmenti!$H$20*Blocchi!G83+Segmenti!$H$21*Blocchi!G92</f>
        <v>7.60412318774713</v>
      </c>
      <c r="H6" s="37" t="n">
        <f aca="false">Segmenti!$H$6*Blocchi!H11+Segmenti!$H$7*Blocchi!H20+Segmenti!$H$8*Blocchi!H29+Segmenti!$H$9*Blocchi!H38+Segmenti!$H$10*Blocchi!H47+Segmenti!$H$17*Blocchi!H56+Segmenti!$H$18*Blocchi!H65+Segmenti!$H$19*Blocchi!H74+Segmenti!$H$20*Blocchi!H83+Segmenti!$H$21*Blocchi!H92</f>
        <v>12.9464115699482</v>
      </c>
      <c r="I6" s="37" t="n">
        <f aca="false">Segmenti!$H$6*Blocchi!I11+Segmenti!$H$7*Blocchi!I20+Segmenti!$H$8*Blocchi!I29+Segmenti!$H$9*Blocchi!I38+Segmenti!$H$10*Blocchi!I47+Segmenti!$H$17*Blocchi!I56+Segmenti!$H$18*Blocchi!I65+Segmenti!$H$19*Blocchi!I74+Segmenti!$H$20*Blocchi!I83+Segmenti!$H$21*Blocchi!I92</f>
        <v>16.5284933107362</v>
      </c>
      <c r="J6" s="37" t="n">
        <f aca="false">Segmenti!$H$6*Blocchi!J11+Segmenti!$H$7*Blocchi!J20+Segmenti!$H$8*Blocchi!J29+Segmenti!$H$9*Blocchi!J38+Segmenti!$H$10*Blocchi!J47+Segmenti!$H$17*Blocchi!J56+Segmenti!$H$18*Blocchi!J65+Segmenti!$H$19*Blocchi!J74+Segmenti!$H$20*Blocchi!J83+Segmenti!$H$21*Blocchi!J92</f>
        <v>20.2323878268126</v>
      </c>
      <c r="K6" s="37" t="n">
        <f aca="false">Segmenti!$H$6*Blocchi!K11+Segmenti!$H$7*Blocchi!K20+Segmenti!$H$8*Blocchi!K29+Segmenti!$H$9*Blocchi!K38+Segmenti!$H$10*Blocchi!K47+Segmenti!$H$17*Blocchi!K56+Segmenti!$H$18*Blocchi!K65+Segmenti!$H$19*Blocchi!K74+Segmenti!$H$20*Blocchi!K83+Segmenti!$H$21*Blocchi!K92</f>
        <v>24.291175207284</v>
      </c>
      <c r="L6" s="37" t="n">
        <f aca="false">Segmenti!$H$6*Blocchi!L11+Segmenti!$H$7*Blocchi!L20+Segmenti!$H$8*Blocchi!L29+Segmenti!$H$9*Blocchi!L38+Segmenti!$H$10*Blocchi!L47+Segmenti!$H$17*Blocchi!L56+Segmenti!$H$18*Blocchi!L65+Segmenti!$H$19*Blocchi!L74+Segmenti!$H$20*Blocchi!L83+Segmenti!$H$21*Blocchi!L92</f>
        <v>28.7771515190951</v>
      </c>
      <c r="M6" s="37" t="n">
        <f aca="false">Segmenti!$H$6*Blocchi!M11+Segmenti!$H$7*Blocchi!M20+Segmenti!$H$8*Blocchi!M29+Segmenti!$H$9*Blocchi!M38+Segmenti!$H$10*Blocchi!M47+Segmenti!$H$17*Blocchi!M56+Segmenti!$H$18*Blocchi!M65+Segmenti!$H$19*Blocchi!M74+Segmenti!$H$20*Blocchi!M83+Segmenti!$H$21*Blocchi!M92</f>
        <v>40.2505679904762</v>
      </c>
    </row>
    <row r="7" customFormat="false" ht="15" hidden="false" customHeight="false" outlineLevel="0" collapsed="false">
      <c r="A7" s="8" t="s">
        <v>391</v>
      </c>
      <c r="C7" s="37" t="n">
        <f aca="false">Input!$B$48+C6+MAX(0,C5)</f>
        <v>97.1819190785223</v>
      </c>
      <c r="D7" s="37" t="n">
        <f aca="false">C11+D6+MAX(0,D5)</f>
        <v>68.1548602968138</v>
      </c>
      <c r="E7" s="37" t="n">
        <f aca="false">D11+E6+MAX(0,E5)</f>
        <v>48.6514569145337</v>
      </c>
      <c r="F7" s="37" t="n">
        <f aca="false">E11+F6+MAX(0,F5)</f>
        <v>16.4011671134033</v>
      </c>
      <c r="G7" s="37" t="n">
        <f aca="false">F11+G6+MAX(0,G5)</f>
        <v>7.60412318774713</v>
      </c>
      <c r="H7" s="37" t="n">
        <f aca="false">G11+H6+MAX(0,H5)</f>
        <v>12.9464115699482</v>
      </c>
      <c r="I7" s="37" t="n">
        <f aca="false">H11+I6+MAX(0,I5)</f>
        <v>16.5284933107362</v>
      </c>
      <c r="J7" s="37" t="n">
        <f aca="false">I11+J6+MAX(0,J5)</f>
        <v>30.5408598737838</v>
      </c>
      <c r="K7" s="37" t="n">
        <f aca="false">J11+K6+MAX(0,K5)</f>
        <v>60.873995099518</v>
      </c>
      <c r="L7" s="37" t="n">
        <f aca="false">K11+L6+MAX(0,L5)</f>
        <v>101.842222105653</v>
      </c>
      <c r="M7" s="37" t="n">
        <f aca="false">L11+M6+MAX(0,M5)</f>
        <v>184.657532596129</v>
      </c>
    </row>
    <row r="8" customFormat="false" ht="15" hidden="false" customHeight="false" outlineLevel="0" collapsed="false">
      <c r="A8" s="8" t="s">
        <v>392</v>
      </c>
      <c r="C8" s="37" t="n">
        <f aca="false">MAX(0,-C5)</f>
        <v>28.4246436837854</v>
      </c>
      <c r="D8" s="37" t="n">
        <f aca="false">MAX(0,-D5)</f>
        <v>19.8015982224273</v>
      </c>
      <c r="E8" s="37" t="n">
        <f aca="false">MAX(0,-E5)</f>
        <v>35.7049156585445</v>
      </c>
      <c r="F8" s="37" t="n">
        <f aca="false">MAX(0,-F5)</f>
        <v>31.4013177371809</v>
      </c>
      <c r="G8" s="37" t="n">
        <f aca="false">MAX(0,-G5)</f>
        <v>24.7114339335964</v>
      </c>
      <c r="H8" s="37" t="n">
        <f aca="false">MAX(0,-H5)</f>
        <v>15.6249646605889</v>
      </c>
      <c r="I8" s="37" t="n">
        <f aca="false">MAX(0,-I5)</f>
        <v>6.220021263765</v>
      </c>
      <c r="J8" s="37" t="n">
        <f aca="false">MAX(0,-J5)</f>
        <v>0.0479909665833473</v>
      </c>
      <c r="K8" s="37" t="n">
        <f aca="false">MAX(0,-K5)</f>
        <v>0</v>
      </c>
      <c r="L8" s="37" t="n">
        <f aca="false">MAX(0,-L5)</f>
        <v>0</v>
      </c>
      <c r="M8" s="37" t="n">
        <f aca="false">MAX(0,-M5)</f>
        <v>0</v>
      </c>
    </row>
    <row r="9" customFormat="false" ht="15" hidden="false" customHeight="false" outlineLevel="0" collapsed="false">
      <c r="A9" s="8" t="s">
        <v>393</v>
      </c>
      <c r="C9" s="37" t="n">
        <f aca="false">MIN(C8,MAX(0,C7))</f>
        <v>28.4246436837854</v>
      </c>
      <c r="D9" s="37" t="n">
        <f aca="false">MIN(D8,MAX(0,D7))</f>
        <v>19.8015982224273</v>
      </c>
      <c r="E9" s="37" t="n">
        <f aca="false">MIN(E8,MAX(0,E7))</f>
        <v>35.7049156585445</v>
      </c>
      <c r="F9" s="37" t="n">
        <f aca="false">MIN(F8,MAX(0,F7))</f>
        <v>16.4011671134033</v>
      </c>
      <c r="G9" s="37" t="n">
        <f aca="false">MIN(G8,MAX(0,G7))</f>
        <v>7.60412318774713</v>
      </c>
      <c r="H9" s="37" t="n">
        <f aca="false">MIN(H8,MAX(0,H7))</f>
        <v>12.9464115699482</v>
      </c>
      <c r="I9" s="37" t="n">
        <f aca="false">MIN(I8,MAX(0,I7))</f>
        <v>6.220021263765</v>
      </c>
      <c r="J9" s="37" t="n">
        <f aca="false">MIN(J8,MAX(0,J7))</f>
        <v>0.0479909665833473</v>
      </c>
      <c r="K9" s="37" t="n">
        <f aca="false">MIN(K8,MAX(0,K7))</f>
        <v>0</v>
      </c>
      <c r="L9" s="37" t="n">
        <f aca="false">MIN(L8,MAX(0,L7))</f>
        <v>0</v>
      </c>
      <c r="M9" s="37" t="n">
        <f aca="false">MIN(M8,MAX(0,M7))</f>
        <v>0</v>
      </c>
    </row>
    <row r="10" customFormat="false" ht="15" hidden="false" customHeight="false" outlineLevel="0" collapsed="false">
      <c r="A10" s="8" t="s">
        <v>394</v>
      </c>
      <c r="C10" s="37" t="n">
        <f aca="false">C8-C9</f>
        <v>0</v>
      </c>
      <c r="D10" s="37" t="n">
        <f aca="false">D8-D9</f>
        <v>0</v>
      </c>
      <c r="E10" s="37" t="n">
        <f aca="false">E8-E9</f>
        <v>0</v>
      </c>
      <c r="F10" s="37" t="n">
        <f aca="false">F8-F9</f>
        <v>15.0001506237776</v>
      </c>
      <c r="G10" s="37" t="n">
        <f aca="false">G8-G9</f>
        <v>17.1073107458493</v>
      </c>
      <c r="H10" s="37" t="n">
        <f aca="false">H8-H9</f>
        <v>2.67855309064066</v>
      </c>
      <c r="I10" s="37" t="n">
        <f aca="false">I8-I9</f>
        <v>0</v>
      </c>
      <c r="J10" s="37" t="n">
        <f aca="false">J8-J9</f>
        <v>0</v>
      </c>
      <c r="K10" s="37" t="n">
        <f aca="false">K8-K9</f>
        <v>0</v>
      </c>
      <c r="L10" s="37" t="n">
        <f aca="false">L8-L9</f>
        <v>0</v>
      </c>
      <c r="M10" s="37" t="n">
        <f aca="false">M8-M9</f>
        <v>0</v>
      </c>
    </row>
    <row r="11" customFormat="false" ht="15" hidden="false" customHeight="false" outlineLevel="0" collapsed="false">
      <c r="A11" s="8" t="s">
        <v>395</v>
      </c>
      <c r="C11" s="37" t="n">
        <f aca="false">MAX(0,C7-C8)</f>
        <v>68.7572753947369</v>
      </c>
      <c r="D11" s="37" t="n">
        <f aca="false">MAX(0,D7-D8)</f>
        <v>48.3532620743865</v>
      </c>
      <c r="E11" s="37" t="n">
        <f aca="false">MAX(0,E7-E8)</f>
        <v>12.9465412559891</v>
      </c>
      <c r="F11" s="37" t="n">
        <f aca="false">MAX(0,F7-F8)</f>
        <v>0</v>
      </c>
      <c r="G11" s="37" t="n">
        <f aca="false">MAX(0,G7-G8)</f>
        <v>0</v>
      </c>
      <c r="H11" s="37" t="n">
        <f aca="false">MAX(0,H7-H8)</f>
        <v>0</v>
      </c>
      <c r="I11" s="37" t="n">
        <f aca="false">MAX(0,I7-I8)</f>
        <v>10.3084720469712</v>
      </c>
      <c r="J11" s="37" t="n">
        <f aca="false">MAX(0,J7-J8)</f>
        <v>30.4928689072005</v>
      </c>
      <c r="K11" s="37" t="n">
        <f aca="false">MAX(0,K7-K8)</f>
        <v>60.873995099518</v>
      </c>
      <c r="L11" s="37" t="n">
        <f aca="false">MAX(0,L7-L8)</f>
        <v>101.842222105653</v>
      </c>
      <c r="M11" s="37" t="n">
        <f aca="false">MAX(0,M7-M8)</f>
        <v>184.657532596129</v>
      </c>
    </row>
    <row r="12" customFormat="false" ht="15" hidden="false" customHeight="false" outlineLevel="0" collapsed="false">
      <c r="A12" s="8" t="s">
        <v>396</v>
      </c>
      <c r="C12" s="37" t="n">
        <f aca="false">Input!$B$47*C9</f>
        <v>0.852739310513562</v>
      </c>
      <c r="D12" s="37" t="n">
        <f aca="false">Input!$B$47*D9</f>
        <v>0.594047946672818</v>
      </c>
      <c r="E12" s="37" t="n">
        <f aca="false">Input!$B$47*E9</f>
        <v>1.07114746975634</v>
      </c>
      <c r="F12" s="37" t="n">
        <f aca="false">Input!$B$47*F9</f>
        <v>0.492035013402099</v>
      </c>
      <c r="G12" s="37" t="n">
        <f aca="false">Input!$B$47*G9</f>
        <v>0.228123695632414</v>
      </c>
      <c r="H12" s="37" t="n">
        <f aca="false">Input!$B$47*H9</f>
        <v>0.388392347098447</v>
      </c>
      <c r="I12" s="37" t="n">
        <f aca="false">Input!$B$47*I9</f>
        <v>0.18660063791295</v>
      </c>
      <c r="J12" s="37" t="n">
        <f aca="false">Input!$B$47*J9</f>
        <v>0.00143972899750042</v>
      </c>
      <c r="K12" s="37" t="n">
        <f aca="false">Input!$B$47*K9</f>
        <v>0</v>
      </c>
      <c r="L12" s="37" t="n">
        <f aca="false">Input!$B$47*L9</f>
        <v>0</v>
      </c>
      <c r="M12" s="37" t="n">
        <f aca="false">Input!$B$47*M9</f>
        <v>0</v>
      </c>
    </row>
    <row r="13" customFormat="false" ht="15" hidden="false" customHeight="false" outlineLevel="0" collapsed="false">
      <c r="A13" s="8" t="s">
        <v>397</v>
      </c>
      <c r="C13" s="42" t="n">
        <f aca="false">Tassi!$C$41</f>
        <v>0.944291273295661</v>
      </c>
      <c r="D13" s="42" t="n">
        <f aca="false">Tassi!$D$41</f>
        <v>0.842011316650775</v>
      </c>
      <c r="E13" s="42" t="n">
        <f aca="false">Tassi!$E$41</f>
        <v>0.750809710327574</v>
      </c>
      <c r="F13" s="42" t="n">
        <f aca="false">Tassi!$F$41</f>
        <v>0.669486513987053</v>
      </c>
      <c r="G13" s="42" t="n">
        <f aca="false">Tassi!$G$41</f>
        <v>0.60542908920384</v>
      </c>
      <c r="H13" s="42" t="n">
        <f aca="false">Tassi!$H$41</f>
        <v>0.547500770211602</v>
      </c>
      <c r="I13" s="42" t="n">
        <f aca="false">Tassi!$I$41</f>
        <v>0.49511511542415</v>
      </c>
      <c r="J13" s="42" t="n">
        <f aca="false">Tassi!$J$41</f>
        <v>0.447741794822912</v>
      </c>
      <c r="K13" s="42" t="n">
        <f aca="false">Tassi!$K$41</f>
        <v>0.404901221122089</v>
      </c>
      <c r="L13" s="42" t="n">
        <f aca="false">Tassi!$L$41</f>
        <v>0.366159694631593</v>
      </c>
      <c r="M13" s="42" t="n">
        <f aca="false">Tassi!$M$41</f>
        <v>0.331125012666423</v>
      </c>
    </row>
    <row r="15" customFormat="false" ht="15" hidden="false" customHeight="false" outlineLevel="0" collapsed="false">
      <c r="A15" s="4" t="s">
        <v>398</v>
      </c>
      <c r="C15" s="43" t="n">
        <f aca="false">SUMPRODUCT(C12:M12,C13:M13)</f>
        <v>2.88285936409093</v>
      </c>
    </row>
    <row r="16" customFormat="false" ht="15" hidden="false" customHeight="false" outlineLevel="0" collapsed="false">
      <c r="A16" s="8" t="s">
        <v>399</v>
      </c>
      <c r="C16" s="15" t="n">
        <f aca="false">SUM(C8:M8)</f>
        <v>161.936886126472</v>
      </c>
    </row>
    <row r="17" customFormat="false" ht="15" hidden="false" customHeight="false" outlineLevel="0" collapsed="false">
      <c r="A17" s="8" t="s">
        <v>400</v>
      </c>
      <c r="C17" s="15" t="n">
        <f aca="false">SUM(C9:M9)</f>
        <v>127.150871666204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2"/>
    <col collapsed="false" customWidth="true" hidden="false" outlineLevel="0" max="5" min="4" style="0" width="13"/>
    <col collapsed="false" customWidth="true" hidden="false" outlineLevel="0" max="6" min="6" style="0" width="60"/>
  </cols>
  <sheetData>
    <row r="1" customFormat="false" ht="24" hidden="false" customHeight="true" outlineLevel="0" collapsed="false">
      <c r="A1" s="1" t="s">
        <v>401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402</v>
      </c>
    </row>
    <row r="4" customFormat="false" ht="15" hidden="false" customHeight="false" outlineLevel="0" collapsed="false">
      <c r="A4" s="4" t="s">
        <v>403</v>
      </c>
      <c r="B4" s="4" t="s">
        <v>149</v>
      </c>
      <c r="C4" s="4" t="s">
        <v>404</v>
      </c>
      <c r="D4" s="4" t="s">
        <v>405</v>
      </c>
      <c r="E4" s="4" t="s">
        <v>406</v>
      </c>
      <c r="F4" s="4" t="s">
        <v>407</v>
      </c>
    </row>
    <row r="5" customFormat="false" ht="15" hidden="false" customHeight="false" outlineLevel="0" collapsed="false">
      <c r="A5" s="4" t="s">
        <v>408</v>
      </c>
      <c r="B5" s="15" t="n">
        <f aca="false">B50</f>
        <v>696.479366278381</v>
      </c>
      <c r="C5" s="15" t="n">
        <f aca="false">B5</f>
        <v>696.479366278381</v>
      </c>
      <c r="D5" s="44" t="n">
        <f aca="false">(((C5)*(1-Input!$B$38)+Input!$B$33)*(1+Ponte!$B$4)^Input!$B$34-Input!$B$36)/(Input!$B$35/1000+Input!$B$37)</f>
        <v>56.3050071603187</v>
      </c>
      <c r="E5" s="45"/>
      <c r="F5" s="3" t="s">
        <v>409</v>
      </c>
    </row>
    <row r="6" customFormat="false" ht="15" hidden="false" customHeight="false" outlineLevel="0" collapsed="false">
      <c r="A6" s="8" t="s">
        <v>410</v>
      </c>
      <c r="B6" s="15" t="n">
        <f aca="false">Fisco!$C$38</f>
        <v>0.492534031203733</v>
      </c>
      <c r="C6" s="15" t="n">
        <f aca="false">C5+B6</f>
        <v>696.971900309585</v>
      </c>
      <c r="D6" s="44" t="n">
        <f aca="false">(((C6)*(1-Input!$B$38)+Input!$B$33)*(1+Ponte!$B$4)^Input!$B$34-Input!$B$36)/(Input!$B$35/1000+Input!$B$37)</f>
        <v>56.3417743660238</v>
      </c>
      <c r="E6" s="44" t="n">
        <f aca="false">D6-D5</f>
        <v>0.0367672057050541</v>
      </c>
      <c r="F6" s="3" t="s">
        <v>411</v>
      </c>
    </row>
    <row r="7" customFormat="false" ht="15" hidden="false" customHeight="false" outlineLevel="0" collapsed="false">
      <c r="A7" s="8" t="s">
        <v>412</v>
      </c>
      <c r="B7" s="15" t="n">
        <f aca="false">Finanziamento!$C$15</f>
        <v>2.88285936409093</v>
      </c>
      <c r="C7" s="15" t="n">
        <f aca="false">C6+B7</f>
        <v>699.854759673676</v>
      </c>
      <c r="D7" s="44" t="n">
        <f aca="false">(((C7)*(1-Input!$B$38)+Input!$B$33)*(1+Ponte!$B$4)^Input!$B$34-Input!$B$36)/(Input!$B$35/1000+Input!$B$37)</f>
        <v>56.5569771267331</v>
      </c>
      <c r="E7" s="44" t="n">
        <f aca="false">D7-D6</f>
        <v>0.215202760709261</v>
      </c>
      <c r="F7" s="3" t="s">
        <v>413</v>
      </c>
    </row>
    <row r="8" customFormat="false" ht="15" hidden="false" customHeight="false" outlineLevel="0" collapsed="false">
      <c r="A8" s="8" t="s">
        <v>414</v>
      </c>
      <c r="B8" s="15" t="n">
        <f aca="false">B44</f>
        <v>3.07557924395383</v>
      </c>
      <c r="C8" s="15" t="n">
        <f aca="false">C7+B8</f>
        <v>702.93033891763</v>
      </c>
      <c r="D8" s="44" t="n">
        <f aca="false">(((C8)*(1-Input!$B$38)+Input!$B$33)*(1+Ponte!$B$4)^Input!$B$34-Input!$B$36)/(Input!$B$35/1000+Input!$B$37)</f>
        <v>56.7865662465921</v>
      </c>
      <c r="E8" s="44" t="n">
        <f aca="false">D8-D7</f>
        <v>0.229589119859021</v>
      </c>
      <c r="F8" s="3" t="s">
        <v>415</v>
      </c>
    </row>
    <row r="9" customFormat="false" ht="15" hidden="false" customHeight="false" outlineLevel="0" collapsed="false">
      <c r="A9" s="8" t="s">
        <v>416</v>
      </c>
      <c r="B9" s="15" t="n">
        <f aca="false">Segmenti!$M$38-Segmenti!$L$39</f>
        <v>31.5031636823372</v>
      </c>
      <c r="C9" s="15" t="n">
        <f aca="false">C8+B9</f>
        <v>734.433502599967</v>
      </c>
      <c r="D9" s="44" t="n">
        <f aca="false">(((C9)*(1-Input!$B$38)+Input!$B$33)*(1+Ponte!$B$4)^Input!$B$34-Input!$B$36)/(Input!$B$35/1000+Input!$B$37)</f>
        <v>59.1382480108714</v>
      </c>
      <c r="E9" s="44" t="n">
        <f aca="false">D9-D8</f>
        <v>2.35168176427936</v>
      </c>
      <c r="F9" s="3" t="s">
        <v>417</v>
      </c>
    </row>
    <row r="10" customFormat="false" ht="15" hidden="false" customHeight="false" outlineLevel="0" collapsed="false">
      <c r="A10" s="8" t="s">
        <v>418</v>
      </c>
      <c r="B10" s="15" t="n">
        <f aca="false">Segmenti!$N$38-Segmenti!$M$38</f>
        <v>21.7412434586394</v>
      </c>
      <c r="C10" s="15" t="n">
        <f aca="false">C9+B10</f>
        <v>756.174746058606</v>
      </c>
      <c r="D10" s="44" t="n">
        <f aca="false">(((C10)*(1-Input!$B$38)+Input!$B$33)*(1+Ponte!$B$4)^Input!$B$34-Input!$B$36)/(Input!$B$35/1000+Input!$B$37)</f>
        <v>60.7612115420899</v>
      </c>
      <c r="E10" s="44" t="n">
        <f aca="false">D10-D9</f>
        <v>1.6229635312185</v>
      </c>
      <c r="F10" s="3" t="s">
        <v>419</v>
      </c>
    </row>
    <row r="11" customFormat="false" ht="15" hidden="false" customHeight="false" outlineLevel="0" collapsed="false">
      <c r="A11" s="8" t="s">
        <v>420</v>
      </c>
      <c r="B11" s="15" t="n">
        <f aca="false">Segmenti!$K$38-Segmenti!$N$38</f>
        <v>2.51332448017934</v>
      </c>
      <c r="C11" s="15" t="n">
        <f aca="false">C10+B11</f>
        <v>758.688070538785</v>
      </c>
      <c r="D11" s="44" t="n">
        <f aca="false">(((C11)*(1-Input!$B$38)+Input!$B$33)*(1+Ponte!$B$4)^Input!$B$34-Input!$B$36)/(Input!$B$35/1000+Input!$B$37)</f>
        <v>60.9488288686338</v>
      </c>
      <c r="E11" s="44" t="n">
        <f aca="false">D11-D10</f>
        <v>0.187617326543894</v>
      </c>
      <c r="F11" s="3" t="s">
        <v>421</v>
      </c>
    </row>
    <row r="12" customFormat="false" ht="15" hidden="false" customHeight="false" outlineLevel="0" collapsed="false">
      <c r="A12" s="8" t="s">
        <v>422</v>
      </c>
      <c r="B12" s="15" t="n">
        <f aca="false">B43</f>
        <v>3.89405271250832</v>
      </c>
      <c r="C12" s="15" t="n">
        <f aca="false">C11+B12</f>
        <v>762.582123251294</v>
      </c>
      <c r="D12" s="44" t="n">
        <f aca="false">(((C12)*(1-Input!$B$38)+Input!$B$33)*(1+Ponte!$B$4)^Input!$B$34-Input!$B$36)/(Input!$B$35/1000+Input!$B$37)</f>
        <v>61.2395162689689</v>
      </c>
      <c r="E12" s="44" t="n">
        <f aca="false">D12-D11</f>
        <v>0.290687400335052</v>
      </c>
      <c r="F12" s="3" t="s">
        <v>423</v>
      </c>
    </row>
    <row r="13" customFormat="false" ht="15" hidden="false" customHeight="false" outlineLevel="0" collapsed="false">
      <c r="A13" s="8" t="s">
        <v>424</v>
      </c>
      <c r="B13" s="15" t="n">
        <f aca="false">-B41</f>
        <v>-15.8444634419002</v>
      </c>
      <c r="C13" s="15" t="n">
        <f aca="false">C12+B13</f>
        <v>746.737659809394</v>
      </c>
      <c r="D13" s="44" t="n">
        <f aca="false">(((C13)*(1-Input!$B$38)+Input!$B$33)*(1+Ponte!$B$4)^Input!$B$34-Input!$B$36)/(Input!$B$35/1000+Input!$B$37)</f>
        <v>60.056741862029</v>
      </c>
      <c r="E13" s="44" t="n">
        <f aca="false">D13-D12</f>
        <v>-1.18277440693992</v>
      </c>
      <c r="F13" s="3" t="s">
        <v>425</v>
      </c>
    </row>
    <row r="14" customFormat="false" ht="15" hidden="false" customHeight="false" outlineLevel="0" collapsed="false">
      <c r="A14" s="4" t="s">
        <v>426</v>
      </c>
      <c r="B14" s="20" t="n">
        <f aca="false">C13</f>
        <v>746.737659809394</v>
      </c>
      <c r="D14" s="16" t="n">
        <f aca="false">D13</f>
        <v>60.056741862029</v>
      </c>
    </row>
    <row r="16" customFormat="false" ht="15" hidden="false" customHeight="false" outlineLevel="0" collapsed="false">
      <c r="A16" s="8" t="s">
        <v>427</v>
      </c>
      <c r="B16" s="15" t="n">
        <f aca="false">SUM(B6:B11)</f>
        <v>62.2087042604044</v>
      </c>
    </row>
    <row r="17" customFormat="false" ht="15" hidden="false" customHeight="false" outlineLevel="0" collapsed="false">
      <c r="A17" s="8" t="s">
        <v>428</v>
      </c>
      <c r="B17" s="39" t="n">
        <f aca="false">B16/Segmenti!$K$38</f>
        <v>0.0837440124221071</v>
      </c>
    </row>
    <row r="18" customFormat="false" ht="15" hidden="false" customHeight="false" outlineLevel="0" collapsed="false">
      <c r="A18" s="8" t="s">
        <v>429</v>
      </c>
      <c r="B18" s="15" t="n">
        <f aca="false">Sinergie!$B$14-B5</f>
        <v>50.2582935310126</v>
      </c>
    </row>
    <row r="19" customFormat="false" ht="15" hidden="false" customHeight="false" outlineLevel="0" collapsed="false">
      <c r="A19" s="8" t="s">
        <v>430</v>
      </c>
      <c r="B19" s="39" t="n">
        <f aca="false">LN(Sinergie!$B$14/B5)</f>
        <v>0.0696757638514982</v>
      </c>
    </row>
    <row r="20" customFormat="false" ht="15" hidden="false" customHeight="false" outlineLevel="0" collapsed="false">
      <c r="A20" s="8" t="s">
        <v>431</v>
      </c>
      <c r="B20" s="46" t="n">
        <f aca="false">Sinergie!$B$14-(Segmenti!$K$38+B43)</f>
        <v>0</v>
      </c>
    </row>
    <row r="22" customFormat="false" ht="15" hidden="false" customHeight="false" outlineLevel="0" collapsed="false">
      <c r="A22" s="17" t="s">
        <v>432</v>
      </c>
    </row>
    <row r="23" customFormat="false" ht="15" hidden="false" customHeight="false" outlineLevel="0" collapsed="false">
      <c r="A23" s="4" t="s">
        <v>433</v>
      </c>
      <c r="B23" s="4" t="s">
        <v>434</v>
      </c>
      <c r="C23" s="4" t="s">
        <v>435</v>
      </c>
      <c r="D23" s="4" t="s">
        <v>436</v>
      </c>
      <c r="E23" s="4" t="s">
        <v>437</v>
      </c>
      <c r="F23" s="4" t="s">
        <v>438</v>
      </c>
    </row>
    <row r="24" customFormat="false" ht="15" hidden="false" customHeight="false" outlineLevel="0" collapsed="false">
      <c r="A24" s="8" t="s">
        <v>439</v>
      </c>
      <c r="B24" s="25" t="n">
        <v>0</v>
      </c>
      <c r="C24" s="25" t="n">
        <v>1</v>
      </c>
      <c r="D24" s="15" t="n">
        <f aca="false">Sinergie!$B$18-(Input!$B$50-B24)*B40</f>
        <v>34.4138300891124</v>
      </c>
      <c r="E24" s="15" t="n">
        <f aca="false">Sinergie!$B$18-(Input!$B$50-C24)*B40</f>
        <v>66.1027569729127</v>
      </c>
      <c r="F24" s="3" t="s">
        <v>440</v>
      </c>
    </row>
    <row r="25" customFormat="false" ht="15" hidden="false" customHeight="false" outlineLevel="0" collapsed="false">
      <c r="A25" s="8" t="s">
        <v>441</v>
      </c>
      <c r="B25" s="25" t="n">
        <v>0.015</v>
      </c>
      <c r="C25" s="25" t="n">
        <v>0.05</v>
      </c>
      <c r="D25" s="15" t="n">
        <f aca="false">Sinergie!$B$18+(B25-Input!$B$47)*Finanziamento!$C$15/Input!$B$47</f>
        <v>48.8168638489671</v>
      </c>
      <c r="E25" s="15" t="n">
        <f aca="false">Sinergie!$B$18+(C25-Input!$B$47)*Finanziamento!$C$15/Input!$B$47</f>
        <v>52.1801997737398</v>
      </c>
      <c r="F25" s="3" t="s">
        <v>442</v>
      </c>
    </row>
    <row r="26" customFormat="false" ht="15" hidden="false" customHeight="false" outlineLevel="0" collapsed="false">
      <c r="A26" s="8" t="s">
        <v>443</v>
      </c>
      <c r="B26" s="25" t="n">
        <v>0.3</v>
      </c>
      <c r="C26" s="25" t="n">
        <v>0.7</v>
      </c>
      <c r="D26" s="15" t="n">
        <f aca="false">Sinergie!$B$18+(B26-Input!$B$49)*B42</f>
        <v>48.7006724460092</v>
      </c>
      <c r="E26" s="15" t="n">
        <f aca="false">Sinergie!$B$18+(C26-Input!$B$49)*B42</f>
        <v>51.8159146160159</v>
      </c>
      <c r="F26" s="3" t="s">
        <v>444</v>
      </c>
    </row>
    <row r="40" customFormat="false" ht="15" hidden="false" customHeight="false" outlineLevel="0" collapsed="false">
      <c r="A40" s="8" t="s">
        <v>445</v>
      </c>
      <c r="B40" s="15" t="n">
        <f aca="false">-(MIN(0,Segmenti!$K$28)+MIN(0,Segmenti!$K$29))</f>
        <v>31.6889268838003</v>
      </c>
    </row>
    <row r="41" customFormat="false" ht="15" hidden="false" customHeight="false" outlineLevel="0" collapsed="false">
      <c r="A41" s="8" t="s">
        <v>446</v>
      </c>
      <c r="B41" s="15" t="n">
        <f aca="false">Input!$B$50*B40</f>
        <v>15.8444634419002</v>
      </c>
    </row>
    <row r="42" customFormat="false" ht="15" hidden="false" customHeight="false" outlineLevel="0" collapsed="false">
      <c r="A42" s="8" t="s">
        <v>447</v>
      </c>
      <c r="B42" s="10" t="n">
        <f aca="false">Blocchi!$Q$150</f>
        <v>7.78810542501663</v>
      </c>
    </row>
    <row r="43" customFormat="false" ht="15" hidden="false" customHeight="false" outlineLevel="0" collapsed="false">
      <c r="A43" s="8" t="s">
        <v>448</v>
      </c>
      <c r="B43" s="15" t="n">
        <f aca="false">Input!$B$49*B42</f>
        <v>3.89405271250832</v>
      </c>
    </row>
    <row r="44" customFormat="false" ht="15" hidden="false" customHeight="false" outlineLevel="0" collapsed="false">
      <c r="A44" s="8" t="s">
        <v>449</v>
      </c>
      <c r="B44" s="15" t="n">
        <f aca="false">Segmenti!$L$39-Segmenti!$L$38</f>
        <v>3.07557924395383</v>
      </c>
    </row>
    <row r="46" customFormat="false" ht="15" hidden="false" customHeight="false" outlineLevel="0" collapsed="false">
      <c r="A46" s="17" t="s">
        <v>450</v>
      </c>
    </row>
    <row r="47" customFormat="false" ht="15" hidden="false" customHeight="false" outlineLevel="0" collapsed="false">
      <c r="A47" s="8" t="s">
        <v>40</v>
      </c>
      <c r="B47" s="15" t="n">
        <f aca="false">Segmenti!$L$14-Fisco!$C$14</f>
        <v>12.4557575361995</v>
      </c>
    </row>
    <row r="48" customFormat="false" ht="15" hidden="false" customHeight="false" outlineLevel="0" collapsed="false">
      <c r="A48" s="8" t="s">
        <v>42</v>
      </c>
      <c r="B48" s="15" t="n">
        <f aca="false">Segmenti!$L$25-Fisco!$C$25</f>
        <v>537.793108586325</v>
      </c>
    </row>
    <row r="49" customFormat="false" ht="15" hidden="false" customHeight="false" outlineLevel="0" collapsed="false">
      <c r="A49" s="8" t="s">
        <v>43</v>
      </c>
      <c r="B49" s="15" t="n">
        <f aca="false">Segmenti!$L$36-Fisco!$C$36-Finanziamento!$C$15+B41</f>
        <v>146.230500155857</v>
      </c>
    </row>
    <row r="50" customFormat="false" ht="15" hidden="false" customHeight="false" outlineLevel="0" collapsed="false">
      <c r="A50" s="4" t="s">
        <v>451</v>
      </c>
      <c r="B50" s="15" t="n">
        <f aca="false">SUM(B47:B49)</f>
        <v>696.479366278381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8" min="2" style="0" width="15"/>
  </cols>
  <sheetData>
    <row r="1" customFormat="false" ht="24" hidden="false" customHeight="true" outlineLevel="0" collapsed="false">
      <c r="A1" s="1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452</v>
      </c>
    </row>
    <row r="4" customFormat="false" ht="15" hidden="false" customHeight="false" outlineLevel="0" collapsed="false">
      <c r="A4" s="8" t="s">
        <v>453</v>
      </c>
      <c r="B4" s="34" t="n">
        <f aca="false">(Tassi!$B$11*MAX(0,Segmenti!$K$14)+Tassi!$C$11*MAX(0,Segmenti!$K$25)+Tassi!$D$11*MAX(0,Segmenti!$K$36))/(MAX(0,Segmenti!$K$14)+MAX(0,Segmenti!$K$25)+MAX(0,Segmenti!$K$36))</f>
        <v>0.081677477939671</v>
      </c>
    </row>
    <row r="5" customFormat="false" ht="15" hidden="false" customHeight="false" outlineLevel="0" collapsed="false">
      <c r="A5" s="8" t="s">
        <v>454</v>
      </c>
      <c r="B5" s="38" t="n">
        <f aca="false">(1-Input!$B$38)*(1+Ponte!$B$4)^Input!$B$34/(Input!$B$35/1000+Input!$B$37)</f>
        <v>0.0746490666141533</v>
      </c>
    </row>
    <row r="7" customFormat="false" ht="30" hidden="false" customHeight="true" outlineLevel="0" collapsed="false">
      <c r="A7" s="4" t="s">
        <v>258</v>
      </c>
      <c r="B7" s="31" t="s">
        <v>455</v>
      </c>
      <c r="C7" s="31" t="s">
        <v>456</v>
      </c>
      <c r="D7" s="31" t="s">
        <v>408</v>
      </c>
      <c r="E7" s="31" t="s">
        <v>301</v>
      </c>
      <c r="F7" s="31" t="s">
        <v>457</v>
      </c>
      <c r="G7" s="31" t="s">
        <v>458</v>
      </c>
    </row>
    <row r="8" customFormat="false" ht="15" hidden="false" customHeight="false" outlineLevel="0" collapsed="false">
      <c r="A8" s="8" t="s">
        <v>459</v>
      </c>
      <c r="B8" s="10" t="n">
        <f aca="false">Segmenti!$K$38</f>
        <v>742.843607096885</v>
      </c>
      <c r="C8" s="10" t="n">
        <f aca="false">Segmenti!$K$38</f>
        <v>742.843607096885</v>
      </c>
      <c r="D8" s="10" t="n">
        <f aca="false">Sinergie!$B$5</f>
        <v>696.479366278381</v>
      </c>
      <c r="E8" s="10" t="n">
        <f aca="false">Sinergie!$B$14</f>
        <v>746.737659809394</v>
      </c>
      <c r="F8" s="10" t="n">
        <f aca="false">Segmenti!$D$38</f>
        <v>1207.59513354941</v>
      </c>
      <c r="G8" s="10" t="n">
        <f aca="false">Segmenti!$D$38+Sinergie!$B$42-Sinergie!$B$41</f>
        <v>1199.53877553253</v>
      </c>
    </row>
    <row r="9" customFormat="false" ht="15" hidden="false" customHeight="false" outlineLevel="0" collapsed="false">
      <c r="A9" s="8" t="s">
        <v>460</v>
      </c>
      <c r="B9" s="15" t="n">
        <f aca="false">-B8*Input!$B$39</f>
        <v>-37.1421803548443</v>
      </c>
      <c r="C9" s="15" t="n">
        <f aca="false">-C8*0</f>
        <v>-0</v>
      </c>
      <c r="D9" s="15" t="n">
        <f aca="false">-D8*0</f>
        <v>-0</v>
      </c>
      <c r="E9" s="15" t="n">
        <f aca="false">-E8*0</f>
        <v>-0</v>
      </c>
      <c r="F9" s="15" t="n">
        <f aca="false">-F8*Input!$B$39</f>
        <v>-60.3797566774706</v>
      </c>
      <c r="G9" s="15" t="n">
        <f aca="false">-G8*0</f>
        <v>-0</v>
      </c>
    </row>
    <row r="10" customFormat="false" ht="15" hidden="false" customHeight="false" outlineLevel="0" collapsed="false">
      <c r="A10" s="8" t="s">
        <v>178</v>
      </c>
      <c r="B10" s="15" t="n">
        <f aca="false">-(B8+B9)*Input!$B$38</f>
        <v>-24.6995499359714</v>
      </c>
      <c r="C10" s="15" t="n">
        <f aca="false">-(C8+C9)*Input!$B$38</f>
        <v>-25.999526248391</v>
      </c>
      <c r="D10" s="15" t="n">
        <f aca="false">-(D8+D9)*Input!$B$38</f>
        <v>-24.3767778197433</v>
      </c>
      <c r="E10" s="15" t="n">
        <f aca="false">-(E8+E9)*Input!$B$38</f>
        <v>-26.1358180933288</v>
      </c>
      <c r="F10" s="15" t="n">
        <f aca="false">-(F8+F9)*Input!$B$38</f>
        <v>-40.152538190518</v>
      </c>
      <c r="G10" s="15" t="n">
        <f aca="false">-(G8+G9)*Input!$B$38</f>
        <v>-41.9838571436385</v>
      </c>
    </row>
    <row r="11" customFormat="false" ht="15" hidden="false" customHeight="false" outlineLevel="0" collapsed="false">
      <c r="A11" s="8" t="s">
        <v>461</v>
      </c>
      <c r="B11" s="15" t="n">
        <f aca="false">B8+B9+B10</f>
        <v>681.00187680607</v>
      </c>
      <c r="C11" s="15" t="n">
        <f aca="false">C8+C9+C10</f>
        <v>716.844080848494</v>
      </c>
      <c r="D11" s="15" t="n">
        <f aca="false">D8+D9+D10</f>
        <v>672.102588458638</v>
      </c>
      <c r="E11" s="15" t="n">
        <f aca="false">E8+E9+E10</f>
        <v>720.601841716065</v>
      </c>
      <c r="F11" s="15" t="n">
        <f aca="false">F8+F9+F10</f>
        <v>1107.06283868142</v>
      </c>
      <c r="G11" s="15" t="n">
        <f aca="false">G8+G9+G10</f>
        <v>1157.55491838889</v>
      </c>
    </row>
    <row r="12" customFormat="false" ht="15" hidden="false" customHeight="false" outlineLevel="0" collapsed="false">
      <c r="A12" s="8" t="s">
        <v>462</v>
      </c>
      <c r="B12" s="10" t="n">
        <f aca="false">Input!$B$33</f>
        <v>52.03</v>
      </c>
      <c r="C12" s="10" t="n">
        <f aca="false">Input!$B$33</f>
        <v>52.03</v>
      </c>
      <c r="D12" s="10" t="n">
        <f aca="false">Input!$B$33</f>
        <v>52.03</v>
      </c>
      <c r="E12" s="10" t="n">
        <f aca="false">Input!$B$33</f>
        <v>52.03</v>
      </c>
      <c r="F12" s="10" t="n">
        <f aca="false">Input!$B$33</f>
        <v>52.03</v>
      </c>
      <c r="G12" s="10" t="n">
        <f aca="false">Input!$B$33</f>
        <v>52.03</v>
      </c>
    </row>
    <row r="13" customFormat="false" ht="15" hidden="false" customHeight="false" outlineLevel="0" collapsed="false">
      <c r="A13" s="8" t="s">
        <v>463</v>
      </c>
      <c r="B13" s="15" t="n">
        <f aca="false">B11+B12</f>
        <v>733.03187680607</v>
      </c>
      <c r="C13" s="15" t="n">
        <f aca="false">C11+C12</f>
        <v>768.874080848494</v>
      </c>
      <c r="D13" s="15" t="n">
        <f aca="false">D11+D12</f>
        <v>724.132588458638</v>
      </c>
      <c r="E13" s="15" t="n">
        <f aca="false">E11+E12</f>
        <v>772.631841716065</v>
      </c>
      <c r="F13" s="15" t="n">
        <f aca="false">F11+F12</f>
        <v>1159.09283868142</v>
      </c>
      <c r="G13" s="15" t="n">
        <f aca="false">G11+G12</f>
        <v>1209.58491838889</v>
      </c>
    </row>
    <row r="14" customFormat="false" ht="15" hidden="false" customHeight="false" outlineLevel="0" collapsed="false">
      <c r="A14" s="8" t="s">
        <v>464</v>
      </c>
      <c r="B14" s="15" t="n">
        <f aca="false">B13*(1+Ponte!$B$4)^Input!$B$34</f>
        <v>748.736945577122</v>
      </c>
      <c r="C14" s="15" t="n">
        <f aca="false">C13*(1+Ponte!$B$4)^Input!$B$34</f>
        <v>785.347062035369</v>
      </c>
      <c r="D14" s="15" t="n">
        <f aca="false">D13*(1+Ponte!$B$4)^Input!$B$34</f>
        <v>739.646991666661</v>
      </c>
      <c r="E14" s="15" t="n">
        <f aca="false">E13*(1+Ponte!$B$4)^Input!$B$34</f>
        <v>789.185332215996</v>
      </c>
      <c r="F14" s="15" t="n">
        <f aca="false">F13*(1+Ponte!$B$4)^Input!$B$34</f>
        <v>1183.92618265937</v>
      </c>
      <c r="G14" s="15" t="n">
        <f aca="false">G13*(1+Ponte!$B$4)^Input!$B$34</f>
        <v>1235.50004558704</v>
      </c>
    </row>
    <row r="15" customFormat="false" ht="15" hidden="false" customHeight="false" outlineLevel="0" collapsed="false">
      <c r="A15" s="4" t="s">
        <v>465</v>
      </c>
      <c r="B15" s="47" t="n">
        <f aca="false">(B14-Input!$B$36)/(Input!$B$35/1000+Input!$B$37)</f>
        <v>56.9934253661902</v>
      </c>
      <c r="C15" s="47" t="n">
        <f aca="false">(C14-Input!$B$36)/(Input!$B$35/1000+Input!$B$37)</f>
        <v>59.7660544616939</v>
      </c>
      <c r="D15" s="47" t="n">
        <f aca="false">(D14-Input!$B$36)/(Input!$B$35/1000+Input!$B$37)</f>
        <v>56.3050071603187</v>
      </c>
      <c r="E15" s="47" t="n">
        <f aca="false">(E14-Input!$B$36)/(Input!$B$35/1000+Input!$B$37)</f>
        <v>60.056741862029</v>
      </c>
      <c r="F15" s="47" t="n">
        <f aca="false">(F14-Input!$B$36)/(Input!$B$35/1000+Input!$B$37)</f>
        <v>89.9520296405152</v>
      </c>
      <c r="G15" s="47" t="n">
        <f aca="false">(G14-Input!$B$36)/(Input!$B$35/1000+Input!$B$37)</f>
        <v>93.8579225126083</v>
      </c>
    </row>
    <row r="16" customFormat="false" ht="15" hidden="false" customHeight="false" outlineLevel="0" collapsed="false">
      <c r="A16" s="8" t="s">
        <v>466</v>
      </c>
      <c r="B16" s="48" t="n">
        <f aca="false">Input!$B$40/B15</f>
        <v>2.94069006947991</v>
      </c>
      <c r="C16" s="48" t="n">
        <f aca="false">Input!$B$40/C15</f>
        <v>2.80426743089458</v>
      </c>
      <c r="D16" s="48" t="n">
        <f aca="false">Input!$B$40/D15</f>
        <v>2.97664467962482</v>
      </c>
      <c r="E16" s="48" t="n">
        <f aca="false">Input!$B$40/E15</f>
        <v>2.79069418026431</v>
      </c>
      <c r="F16" s="48" t="n">
        <f aca="false">Input!$B$40/F15</f>
        <v>1.86321532343181</v>
      </c>
      <c r="G16" s="48" t="n">
        <f aca="false">Input!$B$40/G15</f>
        <v>1.78567770853319</v>
      </c>
    </row>
    <row r="19" customFormat="false" ht="15" hidden="false" customHeight="false" outlineLevel="0" collapsed="false">
      <c r="A19" s="3" t="s">
        <v>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4"/>
    <col collapsed="false" customWidth="true" hidden="false" outlineLevel="0" max="3" min="3" style="0" width="50"/>
  </cols>
  <sheetData>
    <row r="1" customFormat="false" ht="24" hidden="false" customHeight="true" outlineLevel="0" collapsed="false">
      <c r="A1" s="1" t="s">
        <v>468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469</v>
      </c>
    </row>
    <row r="4" customFormat="false" ht="15" hidden="false" customHeight="false" outlineLevel="0" collapsed="false">
      <c r="A4" s="8" t="s">
        <v>470</v>
      </c>
      <c r="B4" s="39" t="n">
        <f aca="false">Input!$B$52/(Input!$B$51+Input!$B$52)</f>
        <v>0.2</v>
      </c>
      <c r="C4" s="3" t="s">
        <v>471</v>
      </c>
    </row>
    <row r="5" customFormat="false" ht="15" hidden="false" customHeight="false" outlineLevel="0" collapsed="false">
      <c r="A5" s="8" t="s">
        <v>472</v>
      </c>
      <c r="B5" s="15" t="n">
        <f aca="false">Sinergie!$B$47+Sinergie!$B$48</f>
        <v>550.248866122524</v>
      </c>
    </row>
    <row r="6" customFormat="false" ht="15" hidden="false" customHeight="false" outlineLevel="0" collapsed="false">
      <c r="A6" s="8" t="s">
        <v>473</v>
      </c>
      <c r="B6" s="15" t="n">
        <f aca="false">Sinergie!$B$49</f>
        <v>146.230500155857</v>
      </c>
    </row>
    <row r="7" customFormat="false" ht="15" hidden="false" customHeight="false" outlineLevel="0" collapsed="false">
      <c r="A7" s="8" t="s">
        <v>474</v>
      </c>
      <c r="B7" s="39" t="n">
        <f aca="false">B6/(B5+B6)</f>
        <v>0.20995668678203</v>
      </c>
    </row>
    <row r="8" customFormat="false" ht="15" hidden="false" customHeight="false" outlineLevel="0" collapsed="false">
      <c r="A8" s="8" t="s">
        <v>475</v>
      </c>
      <c r="B8" s="15" t="n">
        <f aca="false">Sinergie!$B$14</f>
        <v>746.737659809394</v>
      </c>
    </row>
    <row r="9" customFormat="false" ht="15" hidden="false" customHeight="false" outlineLevel="0" collapsed="false">
      <c r="A9" s="8" t="s">
        <v>476</v>
      </c>
      <c r="B9" s="15" t="n">
        <f aca="false">(1-B4)*B8</f>
        <v>597.390127847515</v>
      </c>
    </row>
    <row r="10" customFormat="false" ht="15" hidden="false" customHeight="false" outlineLevel="0" collapsed="false">
      <c r="A10" s="8" t="s">
        <v>477</v>
      </c>
      <c r="B10" s="15" t="n">
        <f aca="false">B9-B5</f>
        <v>47.1412617249905</v>
      </c>
    </row>
    <row r="11" customFormat="false" ht="15" hidden="false" customHeight="false" outlineLevel="0" collapsed="false">
      <c r="A11" s="8" t="s">
        <v>478</v>
      </c>
      <c r="B11" s="15" t="n">
        <f aca="false">B4*B8</f>
        <v>149.347531961879</v>
      </c>
    </row>
    <row r="12" customFormat="false" ht="15" hidden="false" customHeight="false" outlineLevel="0" collapsed="false">
      <c r="A12" s="8" t="s">
        <v>479</v>
      </c>
      <c r="B12" s="15" t="n">
        <f aca="false">B11-B6</f>
        <v>3.11703180602211</v>
      </c>
    </row>
    <row r="13" customFormat="false" ht="15" hidden="false" customHeight="false" outlineLevel="0" collapsed="false">
      <c r="A13" s="8" t="s">
        <v>480</v>
      </c>
      <c r="B13" s="15" t="n">
        <f aca="false">B10+B12</f>
        <v>50.2582935310126</v>
      </c>
    </row>
    <row r="14" customFormat="false" ht="15" hidden="false" customHeight="false" outlineLevel="0" collapsed="false">
      <c r="A14" s="8" t="s">
        <v>481</v>
      </c>
      <c r="B14" s="39" t="n">
        <f aca="false">B10/B13</f>
        <v>0.937979752454215</v>
      </c>
    </row>
    <row r="15" customFormat="false" ht="15" hidden="false" customHeight="false" outlineLevel="0" collapsed="false">
      <c r="A15" s="8" t="s">
        <v>482</v>
      </c>
      <c r="B15" s="39" t="n">
        <f aca="false">1-B5/B8</f>
        <v>0.263129616011362</v>
      </c>
      <c r="C15" s="3" t="s">
        <v>483</v>
      </c>
    </row>
    <row r="18" customFormat="false" ht="15" hidden="false" customHeight="false" outlineLevel="0" collapsed="false">
      <c r="A18" s="3" t="s">
        <v>484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6" min="2" style="0" width="12"/>
    <col collapsed="false" customWidth="true" hidden="false" outlineLevel="0" max="7" min="7" style="0" width="14"/>
    <col collapsed="false" customWidth="true" hidden="false" outlineLevel="0" max="8" min="8" style="0" width="60"/>
  </cols>
  <sheetData>
    <row r="1" customFormat="false" ht="24" hidden="false" customHeight="true" outlineLevel="0" collapsed="false">
      <c r="A1" s="1" t="s">
        <v>485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486</v>
      </c>
    </row>
    <row r="4" customFormat="false" ht="15" hidden="false" customHeight="false" outlineLevel="0" collapsed="false">
      <c r="A4" s="17" t="s">
        <v>487</v>
      </c>
    </row>
    <row r="5" customFormat="false" ht="15" hidden="false" customHeight="false" outlineLevel="0" collapsed="false">
      <c r="A5" s="4" t="s">
        <v>488</v>
      </c>
      <c r="B5" s="4" t="s">
        <v>489</v>
      </c>
    </row>
    <row r="6" customFormat="false" ht="15" hidden="false" customHeight="false" outlineLevel="0" collapsed="false">
      <c r="A6" s="8" t="s">
        <v>490</v>
      </c>
      <c r="B6" s="49" t="n">
        <v>32.68</v>
      </c>
    </row>
    <row r="7" customFormat="false" ht="15" hidden="false" customHeight="false" outlineLevel="0" collapsed="false">
      <c r="A7" s="8" t="s">
        <v>491</v>
      </c>
      <c r="B7" s="49" t="n">
        <v>35.49</v>
      </c>
    </row>
    <row r="8" customFormat="false" ht="15" hidden="false" customHeight="false" outlineLevel="0" collapsed="false">
      <c r="A8" s="8" t="s">
        <v>492</v>
      </c>
      <c r="B8" s="49" t="n">
        <v>15.42</v>
      </c>
    </row>
    <row r="9" customFormat="false" ht="15" hidden="false" customHeight="false" outlineLevel="0" collapsed="false">
      <c r="A9" s="8" t="s">
        <v>493</v>
      </c>
      <c r="B9" s="49" t="n">
        <v>22.79</v>
      </c>
    </row>
    <row r="10" customFormat="false" ht="15" hidden="false" customHeight="false" outlineLevel="0" collapsed="false">
      <c r="A10" s="8" t="s">
        <v>494</v>
      </c>
      <c r="B10" s="49" t="n">
        <v>25.93</v>
      </c>
    </row>
    <row r="11" customFormat="false" ht="15" hidden="false" customHeight="false" outlineLevel="0" collapsed="false">
      <c r="A11" s="8" t="s">
        <v>495</v>
      </c>
      <c r="B11" s="49" t="n">
        <v>19.2</v>
      </c>
    </row>
    <row r="12" customFormat="false" ht="15" hidden="false" customHeight="false" outlineLevel="0" collapsed="false">
      <c r="A12" s="8" t="s">
        <v>496</v>
      </c>
      <c r="B12" s="49" t="n">
        <v>13.51</v>
      </c>
    </row>
    <row r="13" customFormat="false" ht="15" hidden="false" customHeight="false" outlineLevel="0" collapsed="false">
      <c r="A13" s="8" t="s">
        <v>497</v>
      </c>
      <c r="B13" s="49" t="n">
        <v>18.8</v>
      </c>
    </row>
    <row r="14" customFormat="false" ht="15" hidden="false" customHeight="false" outlineLevel="0" collapsed="false">
      <c r="A14" s="8" t="s">
        <v>498</v>
      </c>
      <c r="B14" s="49" t="n">
        <v>20.92</v>
      </c>
    </row>
    <row r="15" customFormat="false" ht="15" hidden="false" customHeight="false" outlineLevel="0" collapsed="false">
      <c r="A15" s="8" t="s">
        <v>499</v>
      </c>
      <c r="B15" s="49" t="n">
        <v>8.55</v>
      </c>
    </row>
    <row r="16" customFormat="false" ht="15" hidden="false" customHeight="false" outlineLevel="0" collapsed="false">
      <c r="A16" s="8" t="s">
        <v>500</v>
      </c>
      <c r="B16" s="49" t="n">
        <v>12.66</v>
      </c>
    </row>
    <row r="17" customFormat="false" ht="15" hidden="false" customHeight="false" outlineLevel="0" collapsed="false">
      <c r="A17" s="8" t="s">
        <v>501</v>
      </c>
      <c r="B17" s="49" t="n">
        <v>19.67</v>
      </c>
    </row>
    <row r="18" customFormat="false" ht="15" hidden="false" customHeight="false" outlineLevel="0" collapsed="false">
      <c r="A18" s="8" t="s">
        <v>502</v>
      </c>
      <c r="B18" s="49" t="n">
        <v>35.01</v>
      </c>
    </row>
    <row r="19" customFormat="false" ht="15" hidden="false" customHeight="false" outlineLevel="0" collapsed="false">
      <c r="A19" s="8" t="s">
        <v>503</v>
      </c>
      <c r="B19" s="49" t="n">
        <v>37.71</v>
      </c>
    </row>
    <row r="20" customFormat="false" ht="15" hidden="false" customHeight="false" outlineLevel="0" collapsed="false">
      <c r="A20" s="8" t="s">
        <v>504</v>
      </c>
      <c r="B20" s="49" t="n">
        <v>32.21</v>
      </c>
    </row>
    <row r="21" customFormat="false" ht="15" hidden="false" customHeight="false" outlineLevel="0" collapsed="false">
      <c r="A21" s="8" t="s">
        <v>505</v>
      </c>
      <c r="B21" s="49" t="n">
        <v>16.03</v>
      </c>
    </row>
    <row r="22" customFormat="false" ht="15" hidden="false" customHeight="false" outlineLevel="0" collapsed="false">
      <c r="A22" s="8" t="s">
        <v>506</v>
      </c>
      <c r="B22" s="49" t="n">
        <v>14.41</v>
      </c>
    </row>
    <row r="23" customFormat="false" ht="15" hidden="false" customHeight="false" outlineLevel="0" collapsed="false">
      <c r="A23" s="8" t="s">
        <v>507</v>
      </c>
      <c r="B23" s="49" t="n">
        <v>16.63</v>
      </c>
    </row>
    <row r="24" customFormat="false" ht="15" hidden="false" customHeight="false" outlineLevel="0" collapsed="false">
      <c r="A24" s="8" t="s">
        <v>508</v>
      </c>
      <c r="B24" s="49" t="n">
        <v>18.16</v>
      </c>
    </row>
    <row r="26" customFormat="false" ht="15" hidden="false" customHeight="false" outlineLevel="0" collapsed="false">
      <c r="A26" s="3" t="s">
        <v>509</v>
      </c>
    </row>
    <row r="28" customFormat="false" ht="15" hidden="false" customHeight="false" outlineLevel="0" collapsed="false">
      <c r="A28" s="6" t="s">
        <v>510</v>
      </c>
      <c r="B28" s="7"/>
      <c r="C28" s="7"/>
      <c r="D28" s="7"/>
      <c r="E28" s="7"/>
      <c r="F28" s="7"/>
      <c r="G28" s="7"/>
      <c r="H28" s="7"/>
    </row>
    <row r="29" customFormat="false" ht="15" hidden="false" customHeight="false" outlineLevel="0" collapsed="false">
      <c r="A29" s="8" t="s">
        <v>511</v>
      </c>
      <c r="B29" s="12" t="n">
        <v>2960</v>
      </c>
    </row>
    <row r="30" customFormat="false" ht="15" hidden="false" customHeight="false" outlineLevel="0" collapsed="false">
      <c r="A30" s="8" t="s">
        <v>512</v>
      </c>
      <c r="B30" s="12" t="n">
        <v>775.68</v>
      </c>
      <c r="C30" s="12" t="n">
        <v>716.9</v>
      </c>
      <c r="D30" s="46" t="n">
        <f aca="false">B30/C30</f>
        <v>1.08199190961082</v>
      </c>
    </row>
    <row r="31" customFormat="false" ht="15" hidden="false" customHeight="false" outlineLevel="0" collapsed="false">
      <c r="A31" s="4" t="s">
        <v>34</v>
      </c>
      <c r="B31" s="4" t="s">
        <v>513</v>
      </c>
      <c r="C31" s="4" t="s">
        <v>514</v>
      </c>
      <c r="D31" s="4" t="s">
        <v>515</v>
      </c>
      <c r="E31" s="4" t="s">
        <v>516</v>
      </c>
      <c r="F31" s="4"/>
      <c r="G31" s="4"/>
      <c r="H31" s="4" t="s">
        <v>517</v>
      </c>
    </row>
    <row r="32" customFormat="false" ht="15" hidden="false" customHeight="false" outlineLevel="0" collapsed="false">
      <c r="A32" s="8" t="s">
        <v>518</v>
      </c>
      <c r="B32" s="11" t="n">
        <v>34.3</v>
      </c>
      <c r="C32" s="37" t="n">
        <f aca="false">B32*$D$30</f>
        <v>37.1123224996513</v>
      </c>
      <c r="D32" s="18" t="n">
        <f aca="false">MEDIAN($B$6,$B$7,$B$8)</f>
        <v>32.68</v>
      </c>
      <c r="E32" s="15" t="n">
        <f aca="false">C32*D32</f>
        <v>1212.8306992886</v>
      </c>
      <c r="H32" s="3" t="s">
        <v>519</v>
      </c>
    </row>
    <row r="33" customFormat="false" ht="15" hidden="false" customHeight="false" outlineLevel="0" collapsed="false">
      <c r="A33" s="8" t="s">
        <v>520</v>
      </c>
      <c r="B33" s="11" t="n">
        <v>45.6</v>
      </c>
      <c r="C33" s="37" t="n">
        <f aca="false">B33*$D$30</f>
        <v>49.3388310782536</v>
      </c>
      <c r="D33" s="18" t="n">
        <f aca="false">MEDIAN($B$9,$B$10)</f>
        <v>24.36</v>
      </c>
      <c r="E33" s="15" t="n">
        <f aca="false">C33*D33</f>
        <v>1201.89392506626</v>
      </c>
      <c r="H33" s="3" t="s">
        <v>521</v>
      </c>
    </row>
    <row r="34" customFormat="false" ht="15" hidden="false" customHeight="false" outlineLevel="0" collapsed="false">
      <c r="A34" s="4" t="s">
        <v>516</v>
      </c>
      <c r="E34" s="15" t="n">
        <f aca="false">SUM(E32:E33)</f>
        <v>2414.72462435486</v>
      </c>
    </row>
    <row r="35" customFormat="false" ht="15" hidden="false" customHeight="false" outlineLevel="0" collapsed="false">
      <c r="A35" s="4" t="s">
        <v>522</v>
      </c>
      <c r="E35" s="21" t="n">
        <f aca="false">LN(B29/E34)</f>
        <v>0.203604014915279</v>
      </c>
    </row>
    <row r="36" customFormat="false" ht="15" hidden="false" customHeight="false" outlineLevel="0" collapsed="false">
      <c r="A36" s="3" t="s">
        <v>523</v>
      </c>
    </row>
    <row r="38" customFormat="false" ht="15" hidden="false" customHeight="false" outlineLevel="0" collapsed="false">
      <c r="A38" s="6" t="s">
        <v>524</v>
      </c>
      <c r="B38" s="7"/>
      <c r="C38" s="7"/>
      <c r="D38" s="7"/>
      <c r="E38" s="7"/>
      <c r="F38" s="7"/>
      <c r="G38" s="7"/>
      <c r="H38" s="7"/>
    </row>
    <row r="39" customFormat="false" ht="15" hidden="false" customHeight="false" outlineLevel="0" collapsed="false">
      <c r="A39" s="8" t="s">
        <v>511</v>
      </c>
      <c r="B39" s="12" t="n">
        <v>281.19</v>
      </c>
    </row>
    <row r="40" customFormat="false" ht="15" hidden="false" customHeight="false" outlineLevel="0" collapsed="false">
      <c r="A40" s="8" t="s">
        <v>512</v>
      </c>
      <c r="B40" s="12" t="n">
        <v>93.5</v>
      </c>
      <c r="C40" s="12" t="n">
        <v>88.6</v>
      </c>
      <c r="D40" s="46" t="n">
        <f aca="false">B40/C40</f>
        <v>1.05530474040632</v>
      </c>
    </row>
    <row r="41" customFormat="false" ht="15" hidden="false" customHeight="false" outlineLevel="0" collapsed="false">
      <c r="A41" s="4" t="s">
        <v>34</v>
      </c>
      <c r="B41" s="4" t="s">
        <v>513</v>
      </c>
      <c r="C41" s="4" t="s">
        <v>514</v>
      </c>
      <c r="D41" s="4" t="s">
        <v>515</v>
      </c>
      <c r="E41" s="4" t="s">
        <v>516</v>
      </c>
      <c r="F41" s="4"/>
      <c r="G41" s="4"/>
      <c r="H41" s="4" t="s">
        <v>517</v>
      </c>
    </row>
    <row r="42" customFormat="false" ht="15" hidden="false" customHeight="false" outlineLevel="0" collapsed="false">
      <c r="A42" s="8" t="s">
        <v>525</v>
      </c>
      <c r="B42" s="11" t="n">
        <v>4.741</v>
      </c>
      <c r="C42" s="37" t="n">
        <f aca="false">B42*$D$40</f>
        <v>5.00319977426637</v>
      </c>
      <c r="D42" s="18" t="n">
        <f aca="false">MEDIAN($B$17,$B$18,$B$19)</f>
        <v>35.01</v>
      </c>
      <c r="E42" s="15" t="n">
        <f aca="false">C42*D42</f>
        <v>175.162024097065</v>
      </c>
      <c r="H42" s="3" t="s">
        <v>526</v>
      </c>
    </row>
    <row r="43" customFormat="false" ht="15" hidden="false" customHeight="false" outlineLevel="0" collapsed="false">
      <c r="A43" s="8" t="s">
        <v>527</v>
      </c>
      <c r="B43" s="11" t="n">
        <v>2.596</v>
      </c>
      <c r="C43" s="37" t="n">
        <f aca="false">B43*$D$40</f>
        <v>2.73957110609481</v>
      </c>
      <c r="D43" s="18" t="n">
        <f aca="false">MEDIAN($B$20)</f>
        <v>32.21</v>
      </c>
      <c r="E43" s="15" t="n">
        <f aca="false">C43*D43</f>
        <v>88.2415853273138</v>
      </c>
      <c r="H43" s="3" t="s">
        <v>504</v>
      </c>
    </row>
    <row r="44" customFormat="false" ht="15" hidden="false" customHeight="false" outlineLevel="0" collapsed="false">
      <c r="A44" s="8" t="s">
        <v>528</v>
      </c>
      <c r="B44" s="11" t="n">
        <v>3.227</v>
      </c>
      <c r="C44" s="37" t="n">
        <f aca="false">B44*$D$40</f>
        <v>3.4054683972912</v>
      </c>
      <c r="D44" s="18" t="n">
        <f aca="false">MEDIAN($B$21,$B$22,$B$23,$B$24)</f>
        <v>16.33</v>
      </c>
      <c r="E44" s="15" t="n">
        <f aca="false">C44*D44</f>
        <v>55.6112989277652</v>
      </c>
      <c r="H44" s="3" t="s">
        <v>529</v>
      </c>
    </row>
    <row r="45" customFormat="false" ht="15" hidden="false" customHeight="false" outlineLevel="0" collapsed="false">
      <c r="A45" s="4" t="s">
        <v>516</v>
      </c>
      <c r="E45" s="15" t="n">
        <f aca="false">SUM(E42:E44)</f>
        <v>319.014908352144</v>
      </c>
    </row>
    <row r="46" customFormat="false" ht="15" hidden="false" customHeight="false" outlineLevel="0" collapsed="false">
      <c r="A46" s="4" t="s">
        <v>522</v>
      </c>
      <c r="E46" s="21" t="n">
        <f aca="false">LN(B39/E45)</f>
        <v>-0.126207238912532</v>
      </c>
    </row>
    <row r="47" customFormat="false" ht="15" hidden="false" customHeight="false" outlineLevel="0" collapsed="false">
      <c r="A47" s="3" t="s">
        <v>530</v>
      </c>
    </row>
    <row r="49" customFormat="false" ht="15" hidden="false" customHeight="false" outlineLevel="0" collapsed="false">
      <c r="A49" s="6" t="s">
        <v>531</v>
      </c>
      <c r="B49" s="7"/>
      <c r="C49" s="7"/>
      <c r="D49" s="7"/>
      <c r="E49" s="7"/>
      <c r="F49" s="7"/>
      <c r="G49" s="7"/>
      <c r="H49" s="7"/>
    </row>
    <row r="50" customFormat="false" ht="15" hidden="false" customHeight="false" outlineLevel="0" collapsed="false">
      <c r="A50" s="8" t="s">
        <v>511</v>
      </c>
      <c r="B50" s="12" t="n">
        <v>227.42</v>
      </c>
    </row>
    <row r="51" customFormat="false" ht="15" hidden="false" customHeight="false" outlineLevel="0" collapsed="false">
      <c r="A51" s="8" t="s">
        <v>512</v>
      </c>
      <c r="B51" s="12" t="n">
        <v>98.86</v>
      </c>
      <c r="C51" s="12" t="n">
        <v>94.425</v>
      </c>
      <c r="D51" s="46" t="n">
        <f aca="false">B51/C51</f>
        <v>1.04696849351337</v>
      </c>
    </row>
    <row r="52" customFormat="false" ht="15" hidden="false" customHeight="false" outlineLevel="0" collapsed="false">
      <c r="A52" s="4" t="s">
        <v>34</v>
      </c>
      <c r="B52" s="4" t="s">
        <v>532</v>
      </c>
      <c r="C52" s="4" t="s">
        <v>514</v>
      </c>
      <c r="D52" s="4" t="s">
        <v>515</v>
      </c>
      <c r="E52" s="4" t="s">
        <v>516</v>
      </c>
      <c r="F52" s="4"/>
      <c r="G52" s="4"/>
      <c r="H52" s="4" t="s">
        <v>517</v>
      </c>
    </row>
    <row r="53" customFormat="false" ht="15" hidden="false" customHeight="false" outlineLevel="0" collapsed="false">
      <c r="A53" s="8" t="s">
        <v>533</v>
      </c>
      <c r="B53" s="11" t="n">
        <v>9.995</v>
      </c>
      <c r="C53" s="37" t="n">
        <f aca="false">B53*$D$51</f>
        <v>10.4644500926661</v>
      </c>
      <c r="D53" s="18" t="n">
        <f aca="false">MEDIAN($B$11,$B$12,$B$13)</f>
        <v>18.8</v>
      </c>
      <c r="E53" s="15" t="n">
        <f aca="false">C53*D53</f>
        <v>196.731661742123</v>
      </c>
      <c r="H53" s="3" t="s">
        <v>534</v>
      </c>
    </row>
    <row r="54" customFormat="false" ht="15" hidden="false" customHeight="false" outlineLevel="0" collapsed="false">
      <c r="A54" s="8" t="s">
        <v>535</v>
      </c>
      <c r="B54" s="11" t="n">
        <v>4.674</v>
      </c>
      <c r="C54" s="37" t="n">
        <f aca="false">B54*$D$51</f>
        <v>4.89353073868149</v>
      </c>
      <c r="D54" s="18" t="n">
        <f aca="false">MEDIAN($B$14,$B$15,$B$16)</f>
        <v>12.66</v>
      </c>
      <c r="E54" s="15" t="n">
        <f aca="false">C54*D54</f>
        <v>61.9520991517077</v>
      </c>
      <c r="H54" s="3" t="s">
        <v>536</v>
      </c>
    </row>
    <row r="55" customFormat="false" ht="15" hidden="false" customHeight="false" outlineLevel="0" collapsed="false">
      <c r="A55" s="8" t="s">
        <v>537</v>
      </c>
      <c r="B55" s="11" t="n">
        <v>2.882</v>
      </c>
      <c r="C55" s="37" t="n">
        <f aca="false">B55*$D$51</f>
        <v>3.01736319830553</v>
      </c>
      <c r="D55" s="18" t="n">
        <f aca="false">MEDIAN($B$15)</f>
        <v>8.55</v>
      </c>
      <c r="E55" s="15" t="n">
        <f aca="false">C55*D55</f>
        <v>25.7984553455123</v>
      </c>
      <c r="H55" s="3" t="s">
        <v>499</v>
      </c>
    </row>
    <row r="56" customFormat="false" ht="15" hidden="false" customHeight="false" outlineLevel="0" collapsed="false">
      <c r="A56" s="4" t="s">
        <v>516</v>
      </c>
      <c r="E56" s="15" t="n">
        <f aca="false">SUM(E53:E55)</f>
        <v>284.482216239343</v>
      </c>
    </row>
    <row r="57" customFormat="false" ht="15" hidden="false" customHeight="false" outlineLevel="0" collapsed="false">
      <c r="A57" s="4" t="s">
        <v>522</v>
      </c>
      <c r="E57" s="21" t="n">
        <f aca="false">LN(B50/E56)</f>
        <v>-0.223872214591247</v>
      </c>
    </row>
    <row r="58" customFormat="false" ht="15" hidden="false" customHeight="false" outlineLevel="0" collapsed="false">
      <c r="A58" s="3" t="s">
        <v>538</v>
      </c>
    </row>
    <row r="60" customFormat="false" ht="15" hidden="false" customHeight="false" outlineLevel="0" collapsed="false">
      <c r="A60" s="6" t="s">
        <v>539</v>
      </c>
      <c r="B60" s="7"/>
      <c r="C60" s="7"/>
      <c r="D60" s="7"/>
      <c r="E60" s="7"/>
      <c r="F60" s="7"/>
      <c r="G60" s="7"/>
      <c r="H60" s="7"/>
    </row>
    <row r="61" customFormat="false" ht="15" hidden="false" customHeight="false" outlineLevel="0" collapsed="false">
      <c r="A61" s="4" t="s">
        <v>540</v>
      </c>
      <c r="B61" s="4" t="s">
        <v>541</v>
      </c>
      <c r="C61" s="4" t="s">
        <v>542</v>
      </c>
      <c r="D61" s="4" t="s">
        <v>543</v>
      </c>
      <c r="E61" s="4"/>
      <c r="F61" s="4"/>
      <c r="G61" s="4"/>
      <c r="H61" s="4" t="s">
        <v>39</v>
      </c>
    </row>
    <row r="62" customFormat="false" ht="15" hidden="false" customHeight="false" outlineLevel="0" collapsed="false">
      <c r="A62" s="8" t="s">
        <v>544</v>
      </c>
      <c r="B62" s="25" t="n">
        <v>0.576</v>
      </c>
      <c r="C62" s="39" t="n">
        <f aca="false">LN(1-B62)</f>
        <v>-0.858021823750179</v>
      </c>
      <c r="D62" s="8" t="s">
        <v>545</v>
      </c>
      <c r="H62" s="3" t="s">
        <v>546</v>
      </c>
    </row>
    <row r="63" customFormat="false" ht="15" hidden="false" customHeight="false" outlineLevel="0" collapsed="false">
      <c r="A63" s="8" t="s">
        <v>547</v>
      </c>
      <c r="B63" s="25" t="n">
        <v>0.494</v>
      </c>
      <c r="C63" s="39" t="n">
        <f aca="false">LN(1-B63)</f>
        <v>-0.681218609694672</v>
      </c>
      <c r="D63" s="8" t="s">
        <v>548</v>
      </c>
      <c r="H63" s="3" t="s">
        <v>549</v>
      </c>
    </row>
    <row r="64" customFormat="false" ht="15" hidden="false" customHeight="false" outlineLevel="0" collapsed="false">
      <c r="A64" s="8" t="s">
        <v>550</v>
      </c>
      <c r="B64" s="25" t="n">
        <v>0.358</v>
      </c>
      <c r="C64" s="39" t="n">
        <f aca="false">LN(1-B64)</f>
        <v>-0.443166975292176</v>
      </c>
      <c r="D64" s="8" t="s">
        <v>551</v>
      </c>
      <c r="H64" s="3" t="s">
        <v>552</v>
      </c>
    </row>
    <row r="66" customFormat="false" ht="15" hidden="false" customHeight="false" outlineLevel="0" collapsed="false">
      <c r="A66" s="6" t="s">
        <v>553</v>
      </c>
      <c r="B66" s="7"/>
      <c r="C66" s="7"/>
      <c r="D66" s="7"/>
      <c r="E66" s="7"/>
      <c r="F66" s="7"/>
      <c r="G66" s="7"/>
      <c r="H66" s="7"/>
    </row>
    <row r="67" customFormat="false" ht="15" hidden="false" customHeight="false" outlineLevel="0" collapsed="false">
      <c r="A67" s="8" t="s">
        <v>554</v>
      </c>
      <c r="C67" s="50" t="n">
        <f aca="false">Sinergie!$B$19</f>
        <v>0.0696757638514982</v>
      </c>
    </row>
    <row r="68" customFormat="false" ht="15" hidden="false" customHeight="false" outlineLevel="0" collapsed="false">
      <c r="A68" s="8" t="s">
        <v>555</v>
      </c>
      <c r="B68" s="15" t="n">
        <f aca="false">Input!$B$42/(1-Input!$B$38)</f>
        <v>2236.01700391777</v>
      </c>
    </row>
    <row r="69" customFormat="false" ht="15" hidden="false" customHeight="false" outlineLevel="0" collapsed="false">
      <c r="A69" s="8" t="s">
        <v>556</v>
      </c>
      <c r="C69" s="21" t="n">
        <f aca="false">LN(B68/Sinergie!$B$5)</f>
        <v>1.16641327094894</v>
      </c>
    </row>
    <row r="70" customFormat="false" ht="15" hidden="false" customHeight="false" outlineLevel="0" collapsed="false">
      <c r="A70" s="8" t="s">
        <v>557</v>
      </c>
      <c r="C70" s="16" t="n">
        <f aca="false">(((Sinergie!$B$5*EXP(Conglomerati!$E$35))*(1-Input!$B$38)+Input!$B$33)*(1+Ponte!$B$4)^Input!$B$34-Input!$B$36)/(Input!$B$35/1000+Input!$B$37)</f>
        <v>68.0453535659464</v>
      </c>
    </row>
    <row r="71" customFormat="false" ht="15" hidden="false" customHeight="false" outlineLevel="0" collapsed="false">
      <c r="A71" s="8" t="s">
        <v>558</v>
      </c>
      <c r="C71" s="15" t="n">
        <f aca="false">B68-Sinergie!$B$5</f>
        <v>1539.53763763939</v>
      </c>
    </row>
    <row r="72" customFormat="false" ht="15" hidden="false" customHeight="false" outlineLevel="0" collapsed="false">
      <c r="A72" s="8" t="s">
        <v>559</v>
      </c>
      <c r="C72" s="18" t="n">
        <f aca="false">C71/Sinergie!$B$18</f>
        <v>30.6325091736232</v>
      </c>
    </row>
    <row r="74" customFormat="false" ht="15" hidden="false" customHeight="false" outlineLevel="0" collapsed="false">
      <c r="A74" s="17" t="s">
        <v>560</v>
      </c>
    </row>
    <row r="75" customFormat="false" ht="15" hidden="false" customHeight="false" outlineLevel="0" collapsed="false">
      <c r="A75" s="8" t="s">
        <v>561</v>
      </c>
      <c r="B75" s="8" t="s">
        <v>562</v>
      </c>
      <c r="H75" s="3" t="s">
        <v>563</v>
      </c>
    </row>
    <row r="76" customFormat="false" ht="15" hidden="false" customHeight="false" outlineLevel="0" collapsed="false">
      <c r="A76" s="8" t="s">
        <v>564</v>
      </c>
      <c r="B76" s="8" t="s">
        <v>565</v>
      </c>
      <c r="H76" s="3" t="s">
        <v>566</v>
      </c>
    </row>
    <row r="77" customFormat="false" ht="15" hidden="false" customHeight="false" outlineLevel="0" collapsed="false">
      <c r="A77" s="8" t="s">
        <v>567</v>
      </c>
      <c r="B77" s="8" t="s">
        <v>568</v>
      </c>
      <c r="H77" s="3" t="s">
        <v>569</v>
      </c>
    </row>
    <row r="78" customFormat="false" ht="15" hidden="false" customHeight="false" outlineLevel="0" collapsed="false">
      <c r="A78" s="8" t="s">
        <v>570</v>
      </c>
      <c r="B78" s="8" t="s">
        <v>571</v>
      </c>
      <c r="H78" s="3" t="s">
        <v>572</v>
      </c>
    </row>
    <row r="79" customFormat="false" ht="15" hidden="false" customHeight="false" outlineLevel="0" collapsed="false">
      <c r="A79" s="8" t="s">
        <v>573</v>
      </c>
      <c r="B79" s="8" t="s">
        <v>562</v>
      </c>
      <c r="H79" s="3" t="s">
        <v>574</v>
      </c>
    </row>
    <row r="80" customFormat="false" ht="15" hidden="false" customHeight="false" outlineLevel="0" collapsed="false">
      <c r="A80" s="8" t="s">
        <v>575</v>
      </c>
      <c r="B80" s="8" t="s">
        <v>576</v>
      </c>
      <c r="H80" s="3" t="s">
        <v>577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4"/>
    <col collapsed="false" customWidth="true" hidden="false" outlineLevel="0" max="4" min="4" style="0" width="12"/>
  </cols>
  <sheetData>
    <row r="1" customFormat="false" ht="24" hidden="false" customHeight="true" outlineLevel="0" collapsed="false">
      <c r="A1" s="1" t="s">
        <v>578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579</v>
      </c>
    </row>
    <row r="4" customFormat="false" ht="15" hidden="false" customHeight="false" outlineLevel="0" collapsed="false">
      <c r="A4" s="4" t="s">
        <v>580</v>
      </c>
      <c r="B4" s="4" t="s">
        <v>581</v>
      </c>
      <c r="C4" s="4" t="s">
        <v>582</v>
      </c>
      <c r="D4" s="4" t="s">
        <v>583</v>
      </c>
    </row>
    <row r="5" customFormat="false" ht="15" hidden="false" customHeight="false" outlineLevel="0" collapsed="false">
      <c r="A5" s="8" t="s">
        <v>584</v>
      </c>
      <c r="B5" s="37" t="n">
        <f aca="false">Segmenti!$K$38</f>
        <v>742.843607096885</v>
      </c>
      <c r="C5" s="51" t="n">
        <v>742.843607096885</v>
      </c>
      <c r="D5" s="52" t="n">
        <f aca="false">B5-C5</f>
        <v>0</v>
      </c>
    </row>
    <row r="6" customFormat="false" ht="15" hidden="false" customHeight="false" outlineLevel="0" collapsed="false">
      <c r="A6" s="8" t="s">
        <v>585</v>
      </c>
      <c r="B6" s="37" t="n">
        <f aca="false">Segmenti!$D$38</f>
        <v>1207.59513354941</v>
      </c>
      <c r="C6" s="51" t="n">
        <v>1207.59513354941</v>
      </c>
      <c r="D6" s="52" t="n">
        <f aca="false">B6-C6</f>
        <v>0</v>
      </c>
    </row>
    <row r="7" customFormat="false" ht="15" hidden="false" customHeight="false" outlineLevel="0" collapsed="false">
      <c r="A7" s="8" t="s">
        <v>586</v>
      </c>
      <c r="B7" s="37" t="n">
        <f aca="false">Segmenti!$K$14</f>
        <v>19.3378447986074</v>
      </c>
      <c r="C7" s="51" t="n">
        <v>19.3378447986074</v>
      </c>
      <c r="D7" s="52" t="n">
        <f aca="false">B7-C7</f>
        <v>0</v>
      </c>
    </row>
    <row r="8" customFormat="false" ht="15" hidden="false" customHeight="false" outlineLevel="0" collapsed="false">
      <c r="A8" s="8" t="s">
        <v>587</v>
      </c>
      <c r="B8" s="37" t="n">
        <f aca="false">Segmenti!$K$25</f>
        <v>584.620402189548</v>
      </c>
      <c r="C8" s="51" t="n">
        <v>584.620402189548</v>
      </c>
      <c r="D8" s="52" t="n">
        <f aca="false">B8-C8</f>
        <v>0</v>
      </c>
    </row>
    <row r="9" customFormat="false" ht="15" hidden="false" customHeight="false" outlineLevel="0" collapsed="false">
      <c r="A9" s="8" t="s">
        <v>588</v>
      </c>
      <c r="B9" s="37" t="n">
        <f aca="false">Segmenti!$K$36</f>
        <v>138.88536010873</v>
      </c>
      <c r="C9" s="51" t="n">
        <v>138.88536010873</v>
      </c>
      <c r="D9" s="52" t="n">
        <f aca="false">B9-C9</f>
        <v>0</v>
      </c>
    </row>
    <row r="10" customFormat="false" ht="15" hidden="false" customHeight="false" outlineLevel="0" collapsed="false">
      <c r="A10" s="8" t="s">
        <v>589</v>
      </c>
      <c r="B10" s="44" t="n">
        <f aca="false">Ponte!$B$15</f>
        <v>56.9934253661902</v>
      </c>
      <c r="C10" s="53" t="n">
        <v>56.9980497006842</v>
      </c>
      <c r="D10" s="52" t="n">
        <f aca="false">B10-C10</f>
        <v>-0.00462433449397537</v>
      </c>
    </row>
    <row r="11" customFormat="false" ht="15" hidden="false" customHeight="false" outlineLevel="0" collapsed="false">
      <c r="A11" s="8" t="s">
        <v>590</v>
      </c>
      <c r="B11" s="44" t="n">
        <f aca="false">Ponte!$F$15</f>
        <v>89.9520296405152</v>
      </c>
      <c r="C11" s="53" t="n">
        <v>89.9520470084444</v>
      </c>
      <c r="D11" s="52" t="n">
        <f aca="false">B11-C11</f>
        <v>-1.73679291748385E-005</v>
      </c>
    </row>
    <row r="12" customFormat="false" ht="15" hidden="false" customHeight="false" outlineLevel="0" collapsed="false">
      <c r="A12" s="8" t="s">
        <v>591</v>
      </c>
      <c r="B12" s="37" t="n">
        <f aca="false">Sinergie!$B$5</f>
        <v>696.479366278381</v>
      </c>
      <c r="C12" s="51" t="n">
        <v>696.479366278381</v>
      </c>
      <c r="D12" s="52" t="n">
        <f aca="false">B12-C12</f>
        <v>0</v>
      </c>
    </row>
    <row r="13" customFormat="false" ht="15" hidden="false" customHeight="false" outlineLevel="0" collapsed="false">
      <c r="A13" s="8" t="s">
        <v>592</v>
      </c>
      <c r="B13" s="37" t="n">
        <f aca="false">Sinergie!$B$14</f>
        <v>746.737659809394</v>
      </c>
      <c r="C13" s="51" t="n">
        <v>746.737659809394</v>
      </c>
      <c r="D13" s="52" t="n">
        <f aca="false">B13-C13</f>
        <v>0</v>
      </c>
    </row>
    <row r="14" customFormat="false" ht="15" hidden="false" customHeight="false" outlineLevel="0" collapsed="false">
      <c r="A14" s="8" t="s">
        <v>593</v>
      </c>
      <c r="B14" s="44" t="n">
        <f aca="false">Ponte!$D$15</f>
        <v>56.3050071603187</v>
      </c>
      <c r="C14" s="53" t="n">
        <v>56.3094995825213</v>
      </c>
      <c r="D14" s="52" t="n">
        <f aca="false">B14-C14</f>
        <v>-0.00449242220259549</v>
      </c>
    </row>
    <row r="15" customFormat="false" ht="15" hidden="false" customHeight="false" outlineLevel="0" collapsed="false">
      <c r="A15" s="8" t="s">
        <v>594</v>
      </c>
      <c r="B15" s="44" t="n">
        <f aca="false">Ponte!$E$15</f>
        <v>60.056741862029</v>
      </c>
      <c r="C15" s="53" t="n">
        <v>60.0617954840583</v>
      </c>
      <c r="D15" s="52" t="n">
        <f aca="false">B15-C15</f>
        <v>-0.0050536220293651</v>
      </c>
    </row>
    <row r="16" customFormat="false" ht="15" hidden="false" customHeight="false" outlineLevel="0" collapsed="false">
      <c r="A16" s="8" t="s">
        <v>595</v>
      </c>
      <c r="B16" s="37" t="n">
        <f aca="false">Sinergie!$B$16</f>
        <v>62.2087042604044</v>
      </c>
      <c r="C16" s="51" t="n">
        <v>62.2087042604043</v>
      </c>
      <c r="D16" s="52" t="n">
        <f aca="false">B16-C16</f>
        <v>0</v>
      </c>
    </row>
    <row r="17" customFormat="false" ht="15" hidden="false" customHeight="false" outlineLevel="0" collapsed="false">
      <c r="A17" s="8" t="s">
        <v>596</v>
      </c>
      <c r="B17" s="39" t="n">
        <f aca="false">Sinergie!$B$19</f>
        <v>0.0696757638514982</v>
      </c>
      <c r="C17" s="54" t="n">
        <v>0.069675763851498</v>
      </c>
      <c r="D17" s="52" t="n">
        <f aca="false">B17-C17</f>
        <v>0</v>
      </c>
    </row>
    <row r="18" customFormat="false" ht="15" hidden="false" customHeight="false" outlineLevel="0" collapsed="false">
      <c r="A18" s="8" t="s">
        <v>597</v>
      </c>
      <c r="B18" s="39" t="n">
        <f aca="false">Conglomerati!$C$69</f>
        <v>1.16641327094894</v>
      </c>
      <c r="C18" s="54" t="n">
        <v>1.16641327094894</v>
      </c>
      <c r="D18" s="52" t="n">
        <f aca="false">B18-C18</f>
        <v>0</v>
      </c>
    </row>
    <row r="19" customFormat="false" ht="15" hidden="false" customHeight="false" outlineLevel="0" collapsed="false">
      <c r="A19" s="8" t="s">
        <v>598</v>
      </c>
      <c r="B19" s="44" t="n">
        <f aca="false">Prezzo!$D$23</f>
        <v>15.4320835802066</v>
      </c>
      <c r="C19" s="53" t="n">
        <v>15.3693277917196</v>
      </c>
      <c r="D19" s="52" t="n">
        <f aca="false">B19-C19</f>
        <v>0.0627557884869905</v>
      </c>
    </row>
    <row r="20" customFormat="false" ht="15" hidden="false" customHeight="false" outlineLevel="0" collapsed="false">
      <c r="A20" s="8" t="s">
        <v>599</v>
      </c>
      <c r="B20" s="44" t="n">
        <f aca="false">Prezzo!$E$23</f>
        <v>18.7483586949721</v>
      </c>
      <c r="C20" s="53" t="n">
        <v>18.7008445324554</v>
      </c>
      <c r="D20" s="52" t="n">
        <f aca="false">B20-C20</f>
        <v>0.047514162516709</v>
      </c>
    </row>
    <row r="21" customFormat="false" ht="15" hidden="false" customHeight="false" outlineLevel="0" collapsed="false">
      <c r="A21" s="8" t="s">
        <v>600</v>
      </c>
      <c r="B21" s="44" t="n">
        <f aca="false">Prezzo!$E$32</f>
        <v>44.2838139402477</v>
      </c>
      <c r="C21" s="53" t="n">
        <v>44.2833497576919</v>
      </c>
      <c r="D21" s="52" t="n">
        <f aca="false">B21-C21</f>
        <v>0.000464182555838022</v>
      </c>
    </row>
    <row r="22" customFormat="false" ht="15" hidden="false" customHeight="false" outlineLevel="0" collapsed="false">
      <c r="A22" s="8" t="s">
        <v>601</v>
      </c>
      <c r="B22" s="37" t="n">
        <f aca="false">Prezzo!$B$35</f>
        <v>96.4521976940052</v>
      </c>
      <c r="C22" s="51" t="n">
        <v>96.4860265152285</v>
      </c>
      <c r="D22" s="52" t="n">
        <f aca="false">B22-C22</f>
        <v>-0.0338288212232953</v>
      </c>
    </row>
    <row r="23" customFormat="false" ht="15" hidden="false" customHeight="false" outlineLevel="0" collapsed="false">
      <c r="A23" s="8" t="s">
        <v>602</v>
      </c>
      <c r="B23" s="15" t="n">
        <f aca="false">Prezzo!$B$43</f>
        <v>2925.42065662608</v>
      </c>
      <c r="C23" s="55" t="n">
        <v>2925.42065662608</v>
      </c>
      <c r="D23" s="52" t="n">
        <f aca="false">B23-C23</f>
        <v>0</v>
      </c>
    </row>
    <row r="24" customFormat="false" ht="15" hidden="false" customHeight="false" outlineLevel="0" collapsed="false">
      <c r="A24" s="8" t="s">
        <v>603</v>
      </c>
      <c r="B24" s="39" t="n">
        <f aca="false">Prezzo!$B$58</f>
        <v>0.358333781993013</v>
      </c>
      <c r="C24" s="54" t="n">
        <v>0.358363934869083</v>
      </c>
      <c r="D24" s="52" t="n">
        <f aca="false">B24-C24</f>
        <v>-3.01528760702219E-005</v>
      </c>
    </row>
    <row r="25" customFormat="false" ht="15" hidden="false" customHeight="false" outlineLevel="0" collapsed="false">
      <c r="A25" s="8" t="s">
        <v>604</v>
      </c>
      <c r="B25" s="44" t="n">
        <f aca="false">Prezzo!$D$54</f>
        <v>152.196835787195</v>
      </c>
      <c r="C25" s="53" t="n">
        <v>152.162857063191</v>
      </c>
      <c r="D25" s="52" t="n">
        <f aca="false">B25-C25</f>
        <v>0.03397872400393</v>
      </c>
    </row>
    <row r="26" customFormat="false" ht="15" hidden="false" customHeight="false" outlineLevel="0" collapsed="false">
      <c r="A26" s="8" t="s">
        <v>605</v>
      </c>
      <c r="B26" s="44" t="n">
        <f aca="false">Prezzo!$E$54</f>
        <v>182.628504661712</v>
      </c>
      <c r="C26" s="53" t="n">
        <v>182.573400308311</v>
      </c>
      <c r="D26" s="52" t="n">
        <f aca="false">B26-C26</f>
        <v>0.0551043534010773</v>
      </c>
    </row>
    <row r="27" customFormat="false" ht="15" hidden="false" customHeight="false" outlineLevel="0" collapsed="false">
      <c r="A27" s="8" t="s">
        <v>606</v>
      </c>
      <c r="B27" s="15" t="n">
        <f aca="false">Prezzo!$B$79</f>
        <v>227.5</v>
      </c>
      <c r="C27" s="55" t="n">
        <v>227.5</v>
      </c>
      <c r="D27" s="52" t="n">
        <f aca="false">B27-C27</f>
        <v>0</v>
      </c>
    </row>
    <row r="28" customFormat="false" ht="15" hidden="false" customHeight="false" outlineLevel="0" collapsed="false">
      <c r="A28" s="8" t="s">
        <v>607</v>
      </c>
      <c r="B28" s="15" t="n">
        <f aca="false">Prezzo!$B$80</f>
        <v>173</v>
      </c>
      <c r="C28" s="55" t="n">
        <v>173</v>
      </c>
      <c r="D28" s="52" t="n">
        <f aca="false">B28-C28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2026-10-13T00:52:01Z</dcterms:created>
  <dc:creator>openpyxl</dc:creator>
  <dc:description/>
  <dc:language>it-IT</dc:language>
  <cp:lastModifiedBy/>
  <dcterms:modified xsi:type="dcterms:W3CDTF">2026-10-13T00:52:01Z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